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13_ncr:1_{D1C3F7AC-4CCB-4233-A320-7E37D0322431}" xr6:coauthVersionLast="47" xr6:coauthVersionMax="47" xr10:uidLastSave="{00000000-0000-0000-0000-000000000000}"/>
  <bookViews>
    <workbookView xWindow="-108" yWindow="-108" windowWidth="23256" windowHeight="12720" xr2:uid="{D88779D7-AFEC-48F9-8E5B-75B2C5850406}"/>
  </bookViews>
  <sheets>
    <sheet name="ITR-503" sheetId="1" r:id="rId1"/>
  </sheets>
  <externalReferences>
    <externalReference r:id="rId2"/>
  </externalReferences>
  <definedNames>
    <definedName name="newbasicPB4">[1]Sheet1!$T$4:$T$37</definedName>
    <definedName name="oldbasicPB4">[1]Sheet1!$S$4:$S$37</definedName>
    <definedName name="_xlnm.Print_Area" localSheetId="0">'ITR-503'!$A$1:$G$108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5" i="1" l="1"/>
  <c r="G106" i="1" s="1"/>
  <c r="D103" i="1"/>
  <c r="B103" i="1"/>
  <c r="D102" i="1"/>
  <c r="D79" i="1" s="1"/>
  <c r="K31" i="1" s="1"/>
  <c r="B102" i="1"/>
  <c r="G101" i="1"/>
  <c r="G102" i="1" s="1"/>
  <c r="B101" i="1"/>
  <c r="E96" i="1"/>
  <c r="F95" i="1"/>
  <c r="E95" i="1"/>
  <c r="F94" i="1"/>
  <c r="F96" i="1" s="1"/>
  <c r="F97" i="1" s="1"/>
  <c r="G93" i="1"/>
  <c r="G94" i="1" s="1"/>
  <c r="G86" i="1"/>
  <c r="G84" i="1"/>
  <c r="D80" i="1"/>
  <c r="D77" i="1"/>
  <c r="D76" i="1"/>
  <c r="D70" i="1"/>
  <c r="D71" i="1" s="1"/>
  <c r="D68" i="1"/>
  <c r="D67" i="1"/>
  <c r="D75" i="1" s="1"/>
  <c r="E64" i="1"/>
  <c r="D64" i="1"/>
  <c r="G59" i="1"/>
  <c r="D61" i="1" s="1"/>
  <c r="D65" i="1" s="1"/>
  <c r="G58" i="1"/>
  <c r="D58" i="1"/>
  <c r="D60" i="1" s="1"/>
  <c r="K57" i="1"/>
  <c r="K56" i="1"/>
  <c r="G52" i="1"/>
  <c r="G53" i="1" s="1"/>
  <c r="L48" i="1" s="1"/>
  <c r="G49" i="1"/>
  <c r="G46" i="1"/>
  <c r="L16" i="1" s="1"/>
  <c r="F46" i="1"/>
  <c r="I16" i="1" s="1"/>
  <c r="G45" i="1"/>
  <c r="L14" i="1" s="1"/>
  <c r="G44" i="1"/>
  <c r="L13" i="1" s="1"/>
  <c r="G42" i="1"/>
  <c r="M40" i="1"/>
  <c r="F40" i="1"/>
  <c r="G39" i="1"/>
  <c r="G38" i="1"/>
  <c r="K35" i="1"/>
  <c r="K33" i="1"/>
  <c r="K30" i="1"/>
  <c r="K27" i="1"/>
  <c r="K26" i="1"/>
  <c r="K24" i="1"/>
  <c r="E24" i="1"/>
  <c r="E20" i="1"/>
  <c r="G20" i="1" s="1"/>
  <c r="M19" i="1"/>
  <c r="L12" i="1"/>
  <c r="K12" i="1"/>
  <c r="K9" i="1"/>
  <c r="L6" i="1"/>
  <c r="L5" i="1"/>
  <c r="L7" i="1" s="1"/>
  <c r="G96" i="1" l="1"/>
  <c r="L55" i="1" s="1"/>
  <c r="L58" i="1" s="1"/>
  <c r="G95" i="1"/>
  <c r="L56" i="1" s="1"/>
  <c r="L15" i="1"/>
  <c r="M16" i="1" s="1"/>
  <c r="L43" i="1" s="1"/>
  <c r="K8" i="1"/>
  <c r="L9" i="1" s="1"/>
  <c r="M10" i="1" s="1"/>
  <c r="D66" i="1"/>
  <c r="D59" i="1"/>
  <c r="G88" i="1"/>
  <c r="L47" i="1"/>
  <c r="M48" i="1" s="1"/>
  <c r="G60" i="1"/>
  <c r="D74" i="1"/>
  <c r="K55" i="1"/>
  <c r="K58" i="1" s="1"/>
  <c r="G104" i="1"/>
  <c r="F20" i="1"/>
  <c r="G97" i="1" l="1"/>
  <c r="D57" i="1"/>
  <c r="G100" i="1"/>
  <c r="D81" i="1"/>
  <c r="K25" i="1"/>
  <c r="D72" i="1"/>
  <c r="D73" i="1" s="1"/>
  <c r="D69" i="1"/>
  <c r="G63" i="1"/>
  <c r="D63" i="1" s="1"/>
  <c r="D62" i="1" s="1"/>
  <c r="G64" i="1" s="1"/>
  <c r="G83" i="1" s="1"/>
  <c r="K29" i="1"/>
  <c r="M58" i="1"/>
  <c r="D83" i="1" l="1"/>
  <c r="D82" i="1"/>
  <c r="K23" i="1" s="1"/>
  <c r="K32" i="1" s="1"/>
  <c r="K34" i="1" s="1"/>
  <c r="D78" i="1"/>
  <c r="K28" i="1" s="1"/>
  <c r="G103" i="1"/>
  <c r="G107" i="1"/>
  <c r="D107" i="1" s="1"/>
  <c r="D104" i="1" s="1"/>
  <c r="K36" i="1" l="1"/>
  <c r="K37" i="1" s="1"/>
  <c r="K38" i="1" s="1"/>
  <c r="L21" i="1"/>
  <c r="M22" i="1" s="1"/>
  <c r="M39" i="1" s="1"/>
  <c r="M41" i="1" s="1"/>
  <c r="L42" i="1" s="1"/>
  <c r="L44" i="1" s="1"/>
  <c r="L45" i="1" l="1"/>
  <c r="M46" i="1" s="1"/>
  <c r="M49" i="1" s="1"/>
  <c r="M51" i="1" s="1"/>
</calcChain>
</file>

<file path=xl/sharedStrings.xml><?xml version="1.0" encoding="utf-8"?>
<sst xmlns="http://schemas.openxmlformats.org/spreadsheetml/2006/main" count="229" uniqueCount="216">
  <si>
    <t>EDFOLIO</t>
  </si>
  <si>
    <t>Course Name: E-Filing of Tax Returns</t>
  </si>
  <si>
    <t>To join the course: https://www.edfolio.in/courses/e-filing-tax-returns</t>
  </si>
  <si>
    <t>Assessment Year 2021-22 Computation of Income &amp; Tax Paid</t>
  </si>
  <si>
    <t>Generate income Tax Return for AY 2021-22 in ITR-5 from the data given below</t>
  </si>
  <si>
    <t xml:space="preserve">Income from House Property </t>
  </si>
  <si>
    <t>Name</t>
  </si>
  <si>
    <t xml:space="preserve">Siddharth and Company </t>
  </si>
  <si>
    <t>Rent Received</t>
  </si>
  <si>
    <t>GAV</t>
  </si>
  <si>
    <t>Date of Formation / Commencement of Business</t>
  </si>
  <si>
    <t>Less Local Taxes paid</t>
  </si>
  <si>
    <t>Address</t>
  </si>
  <si>
    <t>O-512, West Patel Nagar, New Delhi-110008</t>
  </si>
  <si>
    <t xml:space="preserve">NAV </t>
  </si>
  <si>
    <t>PAN</t>
  </si>
  <si>
    <t>AAAFS1558H</t>
  </si>
  <si>
    <t>Less Repairs</t>
  </si>
  <si>
    <t>Mobile No.</t>
  </si>
  <si>
    <t xml:space="preserve">Less Intt on Loan </t>
  </si>
  <si>
    <t>Residential Status</t>
  </si>
  <si>
    <t>Resident</t>
  </si>
  <si>
    <t>Loss c/f to  AY 2022-23</t>
  </si>
  <si>
    <t>e-mail ID</t>
  </si>
  <si>
    <t>rathore_incometax@yahoo.co.in</t>
  </si>
  <si>
    <t>Capital Gains</t>
  </si>
  <si>
    <t>Status</t>
  </si>
  <si>
    <t>Partnership firm (not being LLP)</t>
  </si>
  <si>
    <t>Sale of House</t>
  </si>
  <si>
    <t>Return to be filed under which section</t>
  </si>
  <si>
    <t>139(1), Original Return</t>
  </si>
  <si>
    <t>Less Exp</t>
  </si>
  <si>
    <t>Liable to maintain accounts u/s 44AA</t>
  </si>
  <si>
    <t xml:space="preserve">Yes </t>
  </si>
  <si>
    <t>Indexed Acq Cost of House</t>
  </si>
  <si>
    <t>Liable to  Tax Audit u/s 44AB</t>
  </si>
  <si>
    <t>Audit Report u/s 44AB furnished on 15-02-2022</t>
  </si>
  <si>
    <t>CA Kapil, PAN-AAAPK8160R; Membership No 116835, Proprietorship Regd No. 98765432</t>
  </si>
  <si>
    <t xml:space="preserve">Less Exem u/s 54EC (Max 50 Lakhs) </t>
  </si>
  <si>
    <t>Other Sources</t>
  </si>
  <si>
    <t>Partners' information</t>
  </si>
  <si>
    <t>PPF Intt  to Amreeta</t>
  </si>
  <si>
    <t>Name of partners</t>
  </si>
  <si>
    <t xml:space="preserve">Siddharth </t>
  </si>
  <si>
    <t xml:space="preserve">Amreeta </t>
  </si>
  <si>
    <t xml:space="preserve">Iddham </t>
  </si>
  <si>
    <t xml:space="preserve">FDR Intt (Taxable) </t>
  </si>
  <si>
    <t>Date of admission</t>
  </si>
  <si>
    <t xml:space="preserve">Income from Business / Profession </t>
  </si>
  <si>
    <t>Percentage of Share</t>
  </si>
  <si>
    <t>Book  Profit as per P &amp; L A/c</t>
  </si>
  <si>
    <t>Residential Address</t>
  </si>
  <si>
    <t>425, Asaf Ali Road, Darya Ganj, New  Delhi-110002</t>
  </si>
  <si>
    <t>2493, Gali Pyare Mohan, Chawri Bazar, Delhi-110006</t>
  </si>
  <si>
    <t>Partners' Remuneration Allowed as per 40(b) on Book Profit First Rs. 300000 (90% or 150000); Balance @  60%</t>
  </si>
  <si>
    <t>AASPS8752C</t>
  </si>
  <si>
    <t>AAXPA4521E</t>
  </si>
  <si>
    <t>AANPI5842G</t>
  </si>
  <si>
    <t>NP as per P &amp; L A/c</t>
  </si>
  <si>
    <t>Partner who will verify return</t>
  </si>
  <si>
    <t>OI-9b</t>
  </si>
  <si>
    <t xml:space="preserve">Exps (Cash) </t>
  </si>
  <si>
    <t>BP-17</t>
  </si>
  <si>
    <t>Father's Name of Partner to verify return</t>
  </si>
  <si>
    <t xml:space="preserve">Shyam  </t>
  </si>
  <si>
    <t>OI-8Ae</t>
  </si>
  <si>
    <t xml:space="preserve">Adv tax </t>
  </si>
  <si>
    <t>BP-16</t>
  </si>
  <si>
    <t>No. of bank accounts held by firm  during the previous year</t>
  </si>
  <si>
    <t>Two</t>
  </si>
  <si>
    <t>OI-9a</t>
  </si>
  <si>
    <t xml:space="preserve">Excessive Payment </t>
  </si>
  <si>
    <t>Details of bank accounts</t>
  </si>
  <si>
    <t>Punjab National Bank</t>
  </si>
  <si>
    <t>State Bank of India</t>
  </si>
  <si>
    <t>OI-10a</t>
  </si>
  <si>
    <t xml:space="preserve">Excise  of Prev Years </t>
  </si>
  <si>
    <t>BP-31</t>
  </si>
  <si>
    <t>Account No.</t>
  </si>
  <si>
    <t>P &amp; L A/c</t>
  </si>
  <si>
    <t xml:space="preserve">Depreciation  Added </t>
  </si>
  <si>
    <t>BP-11</t>
  </si>
  <si>
    <t>IFS Code</t>
  </si>
  <si>
    <t>PUNB0466400</t>
  </si>
  <si>
    <t>SBIN0006623</t>
  </si>
  <si>
    <t xml:space="preserve">DEP </t>
  </si>
  <si>
    <t>Dep Allowed</t>
  </si>
  <si>
    <t>BP-12(i)</t>
  </si>
  <si>
    <t>Type of account</t>
  </si>
  <si>
    <t>Current</t>
  </si>
  <si>
    <t>OI-7c</t>
  </si>
  <si>
    <t xml:space="preserve">Donation Political </t>
  </si>
  <si>
    <t>BP-15</t>
  </si>
  <si>
    <t>Refund (if any) to be credited</t>
  </si>
  <si>
    <t>OI-8Ah</t>
  </si>
  <si>
    <t>Excess Intt on Cap</t>
  </si>
  <si>
    <t>Date of Filing</t>
  </si>
  <si>
    <t xml:space="preserve">Adjusted profit </t>
  </si>
  <si>
    <t>Place of filing return</t>
  </si>
  <si>
    <t>New Delhi</t>
  </si>
  <si>
    <t>Add Remu paid</t>
  </si>
  <si>
    <t xml:space="preserve">Income / Expenditure / Investment Details: </t>
  </si>
  <si>
    <t>Book profit</t>
  </si>
  <si>
    <t>Income From House Property</t>
  </si>
  <si>
    <t xml:space="preserve">Sec 40(b) </t>
  </si>
  <si>
    <t>First  Rs. 300000</t>
  </si>
  <si>
    <t>Address of property:  428,  Hasina Nagar, Delhi-110054. Fully owned by the Firm, Name of the Tenant: Naresh Ltd,  Prem Vihar, Delhi-110017;  TAN:  DELN00714A</t>
  </si>
  <si>
    <t xml:space="preserve">Balance @ 60% </t>
  </si>
  <si>
    <t xml:space="preserve">Rent received from Tenant </t>
  </si>
  <si>
    <t xml:space="preserve">Remu Allowed </t>
  </si>
  <si>
    <t xml:space="preserve">Municipal taxes paid by the  Tenant during the previous year </t>
  </si>
  <si>
    <t>Excess Partners' Remu.</t>
  </si>
  <si>
    <t>Interest on capital borrowed for purchase of property</t>
  </si>
  <si>
    <t>Gross Total Income</t>
  </si>
  <si>
    <t>Tax deducted by the Tenant as per section 194I</t>
  </si>
  <si>
    <t xml:space="preserve">Less 80GGC </t>
  </si>
  <si>
    <t xml:space="preserve">Capital Gain </t>
  </si>
  <si>
    <t>Buyer: Amit,  PAN  ABAPA4567K</t>
  </si>
  <si>
    <t>Address: 1955, Tri Nagar, Delhi-110035</t>
  </si>
  <si>
    <t>Total Income</t>
  </si>
  <si>
    <t>Sale of Residential House</t>
  </si>
  <si>
    <t>CII (FY 2020-21) 301</t>
  </si>
  <si>
    <t xml:space="preserve">Normal Tax </t>
  </si>
  <si>
    <t>Stamp duty value</t>
  </si>
  <si>
    <t xml:space="preserve">Spl Tax  (LTCG) </t>
  </si>
  <si>
    <t>Expenditure on transfer</t>
  </si>
  <si>
    <t xml:space="preserve">House was purchased </t>
  </si>
  <si>
    <t>CII (FY 2002-03) 105</t>
  </si>
  <si>
    <t xml:space="preserve">Add Health &amp; Edu Cess </t>
  </si>
  <si>
    <t xml:space="preserve">Investment in REC Capital Gain Bonds </t>
  </si>
  <si>
    <t>Tax Liability</t>
  </si>
  <si>
    <t>Income from other sources</t>
  </si>
  <si>
    <t>TDS by Tenant</t>
  </si>
  <si>
    <t>Interest credited in Amreeta's PPF Account</t>
  </si>
  <si>
    <t xml:space="preserve">Adv Tax </t>
  </si>
  <si>
    <t>Interest on Fixed Deposits</t>
  </si>
  <si>
    <t xml:space="preserve">Tax Refundable </t>
  </si>
  <si>
    <t>Donation to a Political party (Included in other expenses in P &amp; L A/c )</t>
  </si>
  <si>
    <t>Late fees u/s 234F</t>
  </si>
  <si>
    <t>Advance taxes paid by the Firm</t>
  </si>
  <si>
    <t>Rounded Off</t>
  </si>
  <si>
    <t>Tax paid on 10-06-2020 (BSR Code 0006623 ,Challan No.: 00001)</t>
  </si>
  <si>
    <t>Tax paid on 01-03-2021 (BSR Code 0006623 ,Challan No.: 00012)</t>
  </si>
  <si>
    <r>
      <t xml:space="preserve">Wholesale  Business of Food and Beverages (Books of accounts maintained)  </t>
    </r>
    <r>
      <rPr>
        <b/>
        <sz val="11"/>
        <color rgb="FFC00000"/>
        <rFont val="Arial"/>
        <family val="2"/>
      </rPr>
      <t>Code No.  09007</t>
    </r>
  </si>
  <si>
    <t xml:space="preserve">Plant &amp; Mach </t>
  </si>
  <si>
    <t>Computer</t>
  </si>
  <si>
    <t xml:space="preserve">Trade Name:  Siddharth and Company   </t>
  </si>
  <si>
    <t xml:space="preserve">Dep  Full </t>
  </si>
  <si>
    <t>Profit and Loss Account for the year ending 31-03-2021</t>
  </si>
  <si>
    <t xml:space="preserve">Dep  Half </t>
  </si>
  <si>
    <t>Opening stock</t>
  </si>
  <si>
    <t>Gross Turnover</t>
  </si>
  <si>
    <t>Add Dep</t>
  </si>
  <si>
    <t>Purchases</t>
  </si>
  <si>
    <t>Excise duty Received</t>
  </si>
  <si>
    <t>Excise duty on goods purchased</t>
  </si>
  <si>
    <t xml:space="preserve">CGST (50%) &amp; SGST (50%) </t>
  </si>
  <si>
    <t>CGST &amp; SGST in respects of goods</t>
  </si>
  <si>
    <t>Closing Stock</t>
  </si>
  <si>
    <t xml:space="preserve">Carriage inward </t>
  </si>
  <si>
    <t>Intt on Capital to Partners</t>
  </si>
  <si>
    <t>Gross Profit</t>
  </si>
  <si>
    <t>Manually- P &amp; L A/c at 52(ii)(a)</t>
  </si>
  <si>
    <t>Remuneration to Partners</t>
  </si>
  <si>
    <t xml:space="preserve">Rent of office and Godown </t>
  </si>
  <si>
    <t xml:space="preserve">Manually (No Auto) Gen (2) and P &amp; L A/c (S No. 46)  </t>
  </si>
  <si>
    <t xml:space="preserve">Repair (Building) </t>
  </si>
  <si>
    <t xml:space="preserve">Excess Intt on Capital </t>
  </si>
  <si>
    <t xml:space="preserve"> Self-Calculation </t>
  </si>
  <si>
    <t>Repair (Machinery)</t>
  </si>
  <si>
    <t xml:space="preserve">Manually- OI at S.No. 8A(h) u/s 40(b) </t>
  </si>
  <si>
    <t>Salary to employees</t>
  </si>
  <si>
    <t xml:space="preserve">Excess - Partners' Remuneration </t>
  </si>
  <si>
    <t>General insurance</t>
  </si>
  <si>
    <t xml:space="preserve"> Entertainment</t>
  </si>
  <si>
    <t>Sales Promotion expenses</t>
  </si>
  <si>
    <t xml:space="preserve">Advertisement </t>
  </si>
  <si>
    <t>Commission</t>
  </si>
  <si>
    <t>Domestic Travel</t>
  </si>
  <si>
    <t>Telephone Expenses</t>
  </si>
  <si>
    <t>Festival expenses</t>
  </si>
  <si>
    <t>Gifs to Distributors</t>
  </si>
  <si>
    <t>Audit fees</t>
  </si>
  <si>
    <t>Depreciation</t>
  </si>
  <si>
    <t>Intt on capital to partners(@ 14%</t>
  </si>
  <si>
    <t>Remuneration to all the 3 Partners (Rs 80,000 per partner per month)</t>
  </si>
  <si>
    <t>Other expenses</t>
  </si>
  <si>
    <t>Net Profit</t>
  </si>
  <si>
    <t>GSTIN allotted 07AAAFS1558H1ZB</t>
  </si>
  <si>
    <t xml:space="preserve">Gross Turnover Reported </t>
  </si>
  <si>
    <t>Other Information</t>
  </si>
  <si>
    <t>(1) Other expenses include a cash payment to a supplier</t>
  </si>
  <si>
    <t>(2) Other expenses  include Excessive payment to a Relative of a Partner</t>
  </si>
  <si>
    <t>(3) Income tax paid as advance tax is included in other expenses.</t>
  </si>
  <si>
    <t xml:space="preserve">(4) 6% of Total Sales are done in Cash </t>
  </si>
  <si>
    <t>(5) During the year, the firm paid  Excise Duty  of FY 2015-16. It  was not allowed then as per u/s 43B on account of non payment.</t>
  </si>
  <si>
    <t xml:space="preserve">(6) Following information in regard  to depreciation on the Assets </t>
  </si>
  <si>
    <t>Plant &amp; Machinery</t>
  </si>
  <si>
    <t xml:space="preserve">Computer </t>
  </si>
  <si>
    <t xml:space="preserve">Depreciated value </t>
  </si>
  <si>
    <t xml:space="preserve">Add: Original  cost of assets acquired </t>
  </si>
  <si>
    <t xml:space="preserve">Add: Original cost of assets acquired </t>
  </si>
  <si>
    <t xml:space="preserve">Less: Sale proceeds of assets </t>
  </si>
  <si>
    <t xml:space="preserve">Written down value </t>
  </si>
  <si>
    <t>(7) New Plant &amp; Machinery purchased during the year - qualified for additional depreciation. This  additional depreciation is not available in respect of Computer.</t>
  </si>
  <si>
    <t>Balance Sheet as on 31-03-2021</t>
  </si>
  <si>
    <t>Capital account of</t>
  </si>
  <si>
    <t xml:space="preserve">Sundry debtors (More than 1 yr) </t>
  </si>
  <si>
    <t>Loans and Advances (BP)</t>
  </si>
  <si>
    <t>Depreciable assets</t>
  </si>
  <si>
    <t>Sundry Creditors</t>
  </si>
  <si>
    <t>Axis Short-Term Ultra Mutual Funds</t>
  </si>
  <si>
    <t>(Less than 360 days)</t>
  </si>
  <si>
    <t>Bank Balance</t>
  </si>
  <si>
    <t>Cash balance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</si>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</sst>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1"/>
      <color rgb="FF081DB8"/>
      <name val="Arial"/>
      <family val="2"/>
    </font>
    <font>
      <sz val="10"/>
      <name val="Arial"/>
      <family val="2"/>
    </font>
    <font>
      <b/>
      <sz val="11"/>
      <color theme="1"/>
      <name val="Lucida Console"/>
      <family val="3"/>
    </font>
    <font>
      <b/>
      <sz val="11"/>
      <name val="Arial"/>
      <family val="2"/>
    </font>
    <font>
      <b/>
      <sz val="11"/>
      <color rgb="FF0C08B8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081DB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9" tint="-0.249977111117893"/>
      <name val="Arial"/>
      <family val="2"/>
    </font>
    <font>
      <b/>
      <sz val="11"/>
      <color rgb="FFC00000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81DB8"/>
      <name val="Arial"/>
      <family val="2"/>
    </font>
    <font>
      <sz val="11"/>
      <color rgb="FFC00000"/>
      <name val="Arial"/>
      <family val="2"/>
    </font>
    <font>
      <b/>
      <sz val="10"/>
      <color theme="1"/>
      <name val="Arial"/>
      <family val="2"/>
    </font>
    <font>
      <i/>
      <sz val="11"/>
      <name val="Arial"/>
      <family val="2"/>
    </font>
    <font>
      <b/>
      <sz val="9"/>
      <color theme="1"/>
      <name val="Arial"/>
      <family val="2"/>
    </font>
    <font>
      <sz val="14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1" fontId="2" fillId="0" borderId="0" xfId="2" applyNumberFormat="1" applyFont="1"/>
    <xf numFmtId="1" fontId="5" fillId="0" borderId="0" xfId="2" applyNumberFormat="1" applyFont="1" applyAlignment="1">
      <alignment horizontal="center"/>
    </xf>
    <xf numFmtId="1" fontId="8" fillId="0" borderId="0" xfId="2" applyNumberFormat="1" applyFont="1" applyAlignment="1">
      <alignment horizontal="left" wrapText="1"/>
    </xf>
    <xf numFmtId="1" fontId="9" fillId="0" borderId="1" xfId="2" applyNumberFormat="1" applyFont="1" applyBorder="1" applyAlignment="1">
      <alignment horizontal="left" indent="1"/>
    </xf>
    <xf numFmtId="1" fontId="2" fillId="0" borderId="5" xfId="2" applyNumberFormat="1" applyFont="1" applyBorder="1"/>
    <xf numFmtId="1" fontId="2" fillId="0" borderId="6" xfId="2" applyNumberFormat="1" applyFont="1" applyBorder="1" applyAlignment="1">
      <alignment horizontal="left" indent="1"/>
    </xf>
    <xf numFmtId="1" fontId="2" fillId="0" borderId="7" xfId="2" applyNumberFormat="1" applyFont="1" applyBorder="1"/>
    <xf numFmtId="1" fontId="2" fillId="0" borderId="8" xfId="2" applyNumberFormat="1" applyFont="1" applyBorder="1"/>
    <xf numFmtId="1" fontId="10" fillId="0" borderId="6" xfId="2" applyNumberFormat="1" applyFont="1" applyBorder="1" applyAlignment="1">
      <alignment horizontal="left" indent="1"/>
    </xf>
    <xf numFmtId="1" fontId="2" fillId="0" borderId="7" xfId="2" applyNumberFormat="1" applyFont="1" applyBorder="1" applyAlignment="1">
      <alignment horizontal="left" indent="1"/>
    </xf>
    <xf numFmtId="1" fontId="2" fillId="0" borderId="0" xfId="2" applyNumberFormat="1" applyFont="1" applyAlignment="1">
      <alignment horizontal="left" indent="1"/>
    </xf>
    <xf numFmtId="1" fontId="2" fillId="0" borderId="1" xfId="2" applyNumberFormat="1" applyFont="1" applyBorder="1" applyAlignment="1">
      <alignment horizontal="left"/>
    </xf>
    <xf numFmtId="1" fontId="2" fillId="0" borderId="0" xfId="2" applyNumberFormat="1" applyFont="1" applyAlignment="1">
      <alignment horizontal="center"/>
    </xf>
    <xf numFmtId="1" fontId="2" fillId="0" borderId="9" xfId="2" applyNumberFormat="1" applyFont="1" applyBorder="1" applyAlignment="1">
      <alignment horizontal="left" vertical="center" indent="1"/>
    </xf>
    <xf numFmtId="1" fontId="2" fillId="0" borderId="10" xfId="2" applyNumberFormat="1" applyFont="1" applyBorder="1"/>
    <xf numFmtId="1" fontId="2" fillId="0" borderId="1" xfId="2" applyNumberFormat="1" applyFont="1" applyBorder="1"/>
    <xf numFmtId="1" fontId="2" fillId="0" borderId="11" xfId="2" applyNumberFormat="1" applyFont="1" applyBorder="1"/>
    <xf numFmtId="1" fontId="11" fillId="0" borderId="0" xfId="2" applyNumberFormat="1" applyFont="1" applyAlignment="1">
      <alignment horizontal="left" wrapText="1" indent="1"/>
    </xf>
    <xf numFmtId="1" fontId="2" fillId="0" borderId="9" xfId="2" applyNumberFormat="1" applyFont="1" applyBorder="1" applyAlignment="1">
      <alignment horizontal="left" indent="1"/>
    </xf>
    <xf numFmtId="1" fontId="2" fillId="0" borderId="0" xfId="2" applyNumberFormat="1" applyFont="1" applyAlignment="1">
      <alignment horizontal="right"/>
    </xf>
    <xf numFmtId="1" fontId="2" fillId="0" borderId="11" xfId="2" applyNumberFormat="1" applyFont="1" applyBorder="1" applyAlignment="1">
      <alignment horizontal="right"/>
    </xf>
    <xf numFmtId="1" fontId="12" fillId="0" borderId="0" xfId="2" applyNumberFormat="1" applyFont="1"/>
    <xf numFmtId="1" fontId="10" fillId="0" borderId="5" xfId="2" applyNumberFormat="1" applyFont="1" applyBorder="1"/>
    <xf numFmtId="1" fontId="14" fillId="0" borderId="0" xfId="5" applyNumberFormat="1" applyFont="1" applyFill="1" applyBorder="1" applyAlignment="1">
      <alignment horizontal="left" indent="1"/>
    </xf>
    <xf numFmtId="1" fontId="15" fillId="0" borderId="1" xfId="5" applyNumberFormat="1" applyFont="1" applyFill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" fontId="15" fillId="0" borderId="1" xfId="2" applyNumberFormat="1" applyFont="1" applyBorder="1" applyAlignment="1">
      <alignment horizontal="center"/>
    </xf>
    <xf numFmtId="1" fontId="2" fillId="0" borderId="0" xfId="2" applyNumberFormat="1" applyFont="1" applyAlignment="1">
      <alignment horizontal="left"/>
    </xf>
    <xf numFmtId="1" fontId="11" fillId="0" borderId="1" xfId="2" applyNumberFormat="1" applyFont="1" applyBorder="1"/>
    <xf numFmtId="1" fontId="15" fillId="0" borderId="9" xfId="2" applyNumberFormat="1" applyFont="1" applyBorder="1" applyAlignment="1">
      <alignment horizontal="left" vertical="center" indent="1"/>
    </xf>
    <xf numFmtId="1" fontId="2" fillId="0" borderId="0" xfId="2" applyNumberFormat="1" applyFont="1" applyAlignment="1">
      <alignment horizontal="left" wrapText="1" indent="1"/>
    </xf>
    <xf numFmtId="164" fontId="2" fillId="0" borderId="1" xfId="2" applyNumberFormat="1" applyFont="1" applyBorder="1" applyAlignment="1">
      <alignment horizontal="center"/>
    </xf>
    <xf numFmtId="1" fontId="2" fillId="0" borderId="12" xfId="2" applyNumberFormat="1" applyFont="1" applyBorder="1" applyAlignment="1">
      <alignment horizontal="left" indent="1"/>
    </xf>
    <xf numFmtId="1" fontId="2" fillId="0" borderId="13" xfId="2" applyNumberFormat="1" applyFont="1" applyBorder="1"/>
    <xf numFmtId="1" fontId="2" fillId="0" borderId="11" xfId="2" applyNumberFormat="1" applyFont="1" applyBorder="1" applyAlignment="1">
      <alignment horizontal="left" indent="1"/>
    </xf>
    <xf numFmtId="1" fontId="2" fillId="0" borderId="15" xfId="2" applyNumberFormat="1" applyFont="1" applyBorder="1" applyAlignment="1">
      <alignment horizontal="left" indent="10"/>
    </xf>
    <xf numFmtId="1" fontId="2" fillId="0" borderId="16" xfId="2" applyNumberFormat="1" applyFont="1" applyBorder="1"/>
    <xf numFmtId="1" fontId="2" fillId="0" borderId="17" xfId="2" applyNumberFormat="1" applyFont="1" applyBorder="1"/>
    <xf numFmtId="9" fontId="2" fillId="0" borderId="14" xfId="2" applyNumberFormat="1" applyFont="1" applyBorder="1" applyAlignment="1">
      <alignment horizontal="center"/>
    </xf>
    <xf numFmtId="1" fontId="2" fillId="0" borderId="15" xfId="2" applyNumberFormat="1" applyFont="1" applyBorder="1" applyAlignment="1">
      <alignment horizontal="left" vertical="center" indent="10"/>
    </xf>
    <xf numFmtId="1" fontId="15" fillId="0" borderId="14" xfId="2" applyNumberFormat="1" applyFont="1" applyBorder="1" applyAlignment="1">
      <alignment vertical="top" wrapText="1"/>
    </xf>
    <xf numFmtId="1" fontId="15" fillId="0" borderId="0" xfId="2" applyNumberFormat="1" applyFont="1" applyAlignment="1">
      <alignment vertical="top" wrapText="1"/>
    </xf>
    <xf numFmtId="1" fontId="2" fillId="0" borderId="12" xfId="2" applyNumberFormat="1" applyFont="1" applyBorder="1" applyAlignment="1">
      <alignment horizontal="left" indent="10"/>
    </xf>
    <xf numFmtId="1" fontId="16" fillId="0" borderId="1" xfId="2" applyNumberFormat="1" applyFont="1" applyBorder="1" applyAlignment="1">
      <alignment horizontal="center"/>
    </xf>
    <xf numFmtId="1" fontId="16" fillId="0" borderId="0" xfId="2" applyNumberFormat="1" applyFont="1"/>
    <xf numFmtId="1" fontId="2" fillId="0" borderId="1" xfId="2" applyNumberFormat="1" applyFont="1" applyBorder="1" applyAlignment="1">
      <alignment horizontal="center"/>
    </xf>
    <xf numFmtId="1" fontId="2" fillId="0" borderId="16" xfId="2" applyNumberFormat="1" applyFont="1" applyBorder="1" applyAlignment="1">
      <alignment horizontal="left" indent="2"/>
    </xf>
    <xf numFmtId="1" fontId="17" fillId="0" borderId="0" xfId="2" applyNumberFormat="1" applyFont="1" applyAlignment="1">
      <alignment horizontal="center"/>
    </xf>
    <xf numFmtId="1" fontId="2" fillId="0" borderId="15" xfId="2" applyNumberFormat="1" applyFont="1" applyBorder="1" applyAlignment="1">
      <alignment horizontal="left" indent="2"/>
    </xf>
    <xf numFmtId="1" fontId="2" fillId="0" borderId="14" xfId="2" applyNumberFormat="1" applyFont="1" applyBorder="1" applyAlignment="1">
      <alignment horizontal="center"/>
    </xf>
    <xf numFmtId="1" fontId="2" fillId="0" borderId="14" xfId="2" applyNumberFormat="1" applyFont="1" applyBorder="1" applyAlignment="1">
      <alignment horizontal="left" indent="2"/>
    </xf>
    <xf numFmtId="1" fontId="18" fillId="0" borderId="11" xfId="2" applyNumberFormat="1" applyFont="1" applyBorder="1"/>
    <xf numFmtId="1" fontId="10" fillId="0" borderId="0" xfId="2" applyNumberFormat="1" applyFont="1"/>
    <xf numFmtId="1" fontId="10" fillId="0" borderId="18" xfId="2" applyNumberFormat="1" applyFont="1" applyBorder="1"/>
    <xf numFmtId="1" fontId="10" fillId="0" borderId="6" xfId="2" applyNumberFormat="1" applyFont="1" applyBorder="1"/>
    <xf numFmtId="1" fontId="2" fillId="0" borderId="7" xfId="2" applyNumberFormat="1" applyFont="1" applyBorder="1" applyAlignment="1">
      <alignment horizontal="left"/>
    </xf>
    <xf numFmtId="1" fontId="19" fillId="0" borderId="1" xfId="2" applyNumberFormat="1" applyFont="1" applyBorder="1"/>
    <xf numFmtId="1" fontId="18" fillId="0" borderId="0" xfId="2" applyNumberFormat="1" applyFont="1"/>
    <xf numFmtId="1" fontId="2" fillId="0" borderId="19" xfId="2" applyNumberFormat="1" applyFont="1" applyBorder="1"/>
    <xf numFmtId="9" fontId="5" fillId="0" borderId="0" xfId="6" applyFont="1" applyFill="1" applyBorder="1" applyAlignment="1"/>
    <xf numFmtId="1" fontId="12" fillId="0" borderId="0" xfId="2" applyNumberFormat="1" applyFont="1" applyAlignment="1">
      <alignment horizontal="right"/>
    </xf>
    <xf numFmtId="1" fontId="2" fillId="0" borderId="11" xfId="2" applyNumberFormat="1" applyFont="1" applyBorder="1" applyAlignment="1">
      <alignment horizontal="center"/>
    </xf>
    <xf numFmtId="1" fontId="20" fillId="0" borderId="0" xfId="2" applyNumberFormat="1" applyFont="1" applyAlignment="1">
      <alignment horizontal="left"/>
    </xf>
    <xf numFmtId="9" fontId="2" fillId="0" borderId="0" xfId="6" applyFont="1" applyFill="1" applyBorder="1" applyAlignment="1"/>
    <xf numFmtId="1" fontId="10" fillId="0" borderId="19" xfId="2" applyNumberFormat="1" applyFont="1" applyBorder="1"/>
    <xf numFmtId="1" fontId="2" fillId="0" borderId="0" xfId="2" applyNumberFormat="1" applyFont="1" applyAlignment="1">
      <alignment horizontal="left" indent="2"/>
    </xf>
    <xf numFmtId="9" fontId="2" fillId="0" borderId="0" xfId="6" applyFont="1" applyFill="1" applyBorder="1" applyAlignment="1">
      <alignment horizontal="center"/>
    </xf>
    <xf numFmtId="1" fontId="11" fillId="0" borderId="0" xfId="2" applyNumberFormat="1" applyFont="1" applyAlignment="1">
      <alignment horizontal="left" indent="2"/>
    </xf>
    <xf numFmtId="164" fontId="2" fillId="0" borderId="11" xfId="2" applyNumberFormat="1" applyFont="1" applyBorder="1" applyAlignment="1">
      <alignment horizontal="center"/>
    </xf>
    <xf numFmtId="1" fontId="22" fillId="0" borderId="0" xfId="2" applyNumberFormat="1" applyFont="1" applyAlignment="1">
      <alignment horizontal="left"/>
    </xf>
    <xf numFmtId="1" fontId="2" fillId="0" borderId="6" xfId="2" applyNumberFormat="1" applyFont="1" applyBorder="1"/>
    <xf numFmtId="1" fontId="2" fillId="0" borderId="7" xfId="2" applyNumberFormat="1" applyFont="1" applyBorder="1" applyAlignment="1">
      <alignment horizontal="center"/>
    </xf>
    <xf numFmtId="1" fontId="2" fillId="0" borderId="20" xfId="2" applyNumberFormat="1" applyFont="1" applyBorder="1" applyAlignment="1">
      <alignment horizontal="center"/>
    </xf>
    <xf numFmtId="1" fontId="2" fillId="0" borderId="11" xfId="2" applyNumberFormat="1" applyFont="1" applyBorder="1" applyAlignment="1">
      <alignment horizontal="left"/>
    </xf>
    <xf numFmtId="1" fontId="2" fillId="0" borderId="9" xfId="2" applyNumberFormat="1" applyFont="1" applyBorder="1"/>
    <xf numFmtId="1" fontId="2" fillId="0" borderId="21" xfId="2" applyNumberFormat="1" applyFont="1" applyBorder="1"/>
    <xf numFmtId="1" fontId="22" fillId="0" borderId="22" xfId="2" applyNumberFormat="1" applyFont="1" applyBorder="1" applyAlignment="1">
      <alignment horizontal="left"/>
    </xf>
    <xf numFmtId="1" fontId="2" fillId="0" borderId="22" xfId="2" applyNumberFormat="1" applyFont="1" applyBorder="1"/>
    <xf numFmtId="1" fontId="10" fillId="3" borderId="23" xfId="2" applyNumberFormat="1" applyFont="1" applyFill="1" applyBorder="1"/>
    <xf numFmtId="1" fontId="2" fillId="0" borderId="12" xfId="2" applyNumberFormat="1" applyFont="1" applyBorder="1"/>
    <xf numFmtId="9" fontId="10" fillId="0" borderId="0" xfId="2" applyNumberFormat="1" applyFont="1" applyAlignment="1">
      <alignment horizontal="center"/>
    </xf>
    <xf numFmtId="1" fontId="2" fillId="0" borderId="0" xfId="2" applyNumberFormat="1" applyFont="1" applyAlignment="1">
      <alignment horizontal="center" wrapText="1"/>
    </xf>
    <xf numFmtId="1" fontId="10" fillId="0" borderId="0" xfId="2" applyNumberFormat="1" applyFont="1" applyAlignment="1">
      <alignment horizontal="center"/>
    </xf>
    <xf numFmtId="1" fontId="15" fillId="0" borderId="15" xfId="2" applyNumberFormat="1" applyFont="1" applyBorder="1" applyAlignment="1">
      <alignment horizontal="left" indent="1"/>
    </xf>
    <xf numFmtId="1" fontId="15" fillId="0" borderId="17" xfId="2" applyNumberFormat="1" applyFont="1" applyBorder="1"/>
    <xf numFmtId="1" fontId="2" fillId="0" borderId="14" xfId="2" applyNumberFormat="1" applyFont="1" applyBorder="1" applyAlignment="1">
      <alignment horizontal="right"/>
    </xf>
    <xf numFmtId="1" fontId="15" fillId="0" borderId="16" xfId="2" applyNumberFormat="1" applyFont="1" applyBorder="1" applyAlignment="1">
      <alignment horizontal="left" indent="1"/>
    </xf>
    <xf numFmtId="1" fontId="2" fillId="0" borderId="17" xfId="2" applyNumberFormat="1" applyFont="1" applyBorder="1" applyAlignment="1">
      <alignment horizontal="center"/>
    </xf>
    <xf numFmtId="1" fontId="2" fillId="0" borderId="16" xfId="2" applyNumberFormat="1" applyFont="1" applyBorder="1" applyAlignment="1">
      <alignment horizontal="center"/>
    </xf>
    <xf numFmtId="0" fontId="16" fillId="0" borderId="0" xfId="2" applyFont="1" applyAlignment="1">
      <alignment horizontal="center"/>
    </xf>
    <xf numFmtId="0" fontId="23" fillId="0" borderId="0" xfId="2" applyFont="1"/>
    <xf numFmtId="3" fontId="16" fillId="0" borderId="0" xfId="2" applyNumberFormat="1" applyFont="1"/>
    <xf numFmtId="1" fontId="22" fillId="0" borderId="6" xfId="2" applyNumberFormat="1" applyFont="1" applyBorder="1" applyAlignment="1">
      <alignment horizontal="left" indent="1"/>
    </xf>
    <xf numFmtId="1" fontId="24" fillId="0" borderId="8" xfId="2" applyNumberFormat="1" applyFont="1" applyBorder="1"/>
    <xf numFmtId="1" fontId="12" fillId="0" borderId="24" xfId="2" applyNumberFormat="1" applyFont="1" applyBorder="1"/>
    <xf numFmtId="3" fontId="16" fillId="0" borderId="0" xfId="2" applyNumberFormat="1" applyFont="1" applyAlignment="1">
      <alignment horizontal="center"/>
    </xf>
    <xf numFmtId="0" fontId="25" fillId="0" borderId="0" xfId="2" applyFont="1" applyAlignment="1">
      <alignment horizontal="left" indent="1"/>
    </xf>
    <xf numFmtId="1" fontId="15" fillId="0" borderId="25" xfId="2" applyNumberFormat="1" applyFont="1" applyBorder="1" applyAlignment="1">
      <alignment horizontal="left" indent="1"/>
    </xf>
    <xf numFmtId="1" fontId="15" fillId="0" borderId="26" xfId="2" applyNumberFormat="1" applyFont="1" applyBorder="1"/>
    <xf numFmtId="1" fontId="10" fillId="3" borderId="27" xfId="2" applyNumberFormat="1" applyFont="1" applyFill="1" applyBorder="1"/>
    <xf numFmtId="1" fontId="15" fillId="0" borderId="18" xfId="2" applyNumberFormat="1" applyFont="1" applyBorder="1"/>
    <xf numFmtId="1" fontId="2" fillId="0" borderId="18" xfId="2" applyNumberFormat="1" applyFont="1" applyBorder="1" applyAlignment="1">
      <alignment horizontal="center"/>
    </xf>
    <xf numFmtId="1" fontId="10" fillId="3" borderId="27" xfId="2" applyNumberFormat="1" applyFont="1" applyFill="1" applyBorder="1" applyAlignment="1">
      <alignment horizontal="right"/>
    </xf>
    <xf numFmtId="1" fontId="15" fillId="0" borderId="12" xfId="2" applyNumberFormat="1" applyFont="1" applyBorder="1" applyAlignment="1">
      <alignment horizontal="left" indent="1"/>
    </xf>
    <xf numFmtId="1" fontId="15" fillId="0" borderId="13" xfId="2" applyNumberFormat="1" applyFont="1" applyBorder="1"/>
    <xf numFmtId="1" fontId="2" fillId="0" borderId="28" xfId="2" applyNumberFormat="1" applyFont="1" applyBorder="1" applyAlignment="1">
      <alignment horizontal="right"/>
    </xf>
    <xf numFmtId="0" fontId="16" fillId="0" borderId="0" xfId="2" applyFont="1"/>
    <xf numFmtId="0" fontId="5" fillId="0" borderId="0" xfId="2" applyFont="1"/>
    <xf numFmtId="1" fontId="2" fillId="0" borderId="14" xfId="2" applyNumberFormat="1" applyFont="1" applyBorder="1" applyAlignment="1">
      <alignment horizontal="right" vertical="center"/>
    </xf>
    <xf numFmtId="1" fontId="22" fillId="0" borderId="8" xfId="2" applyNumberFormat="1" applyFont="1" applyBorder="1"/>
    <xf numFmtId="1" fontId="12" fillId="0" borderId="24" xfId="2" applyNumberFormat="1" applyFont="1" applyBorder="1" applyAlignment="1">
      <alignment horizontal="right"/>
    </xf>
    <xf numFmtId="1" fontId="2" fillId="0" borderId="25" xfId="2" applyNumberFormat="1" applyFont="1" applyBorder="1"/>
    <xf numFmtId="1" fontId="2" fillId="0" borderId="18" xfId="2" applyNumberFormat="1" applyFont="1" applyBorder="1"/>
    <xf numFmtId="1" fontId="26" fillId="0" borderId="18" xfId="2" applyNumberFormat="1" applyFont="1" applyBorder="1" applyAlignment="1">
      <alignment horizontal="center"/>
    </xf>
    <xf numFmtId="1" fontId="10" fillId="0" borderId="0" xfId="2" applyNumberFormat="1" applyFont="1" applyAlignment="1">
      <alignment horizontal="right"/>
    </xf>
    <xf numFmtId="1" fontId="2" fillId="0" borderId="0" xfId="2" applyNumberFormat="1" applyFont="1" applyAlignment="1">
      <alignment horizontal="right" wrapText="1"/>
    </xf>
    <xf numFmtId="1" fontId="2" fillId="0" borderId="15" xfId="2" applyNumberFormat="1" applyFont="1" applyBorder="1"/>
    <xf numFmtId="1" fontId="2" fillId="0" borderId="14" xfId="2" applyNumberFormat="1" applyFont="1" applyBorder="1" applyAlignment="1">
      <alignment horizontal="center" vertical="center"/>
    </xf>
    <xf numFmtId="1" fontId="2" fillId="0" borderId="0" xfId="2" applyNumberFormat="1" applyFont="1" applyAlignment="1">
      <alignment horizontal="center" vertical="center"/>
    </xf>
    <xf numFmtId="1" fontId="2" fillId="0" borderId="15" xfId="2" applyNumberFormat="1" applyFont="1" applyBorder="1" applyAlignment="1">
      <alignment horizontal="left" indent="1"/>
    </xf>
    <xf numFmtId="164" fontId="2" fillId="0" borderId="14" xfId="2" applyNumberFormat="1" applyFont="1" applyBorder="1" applyAlignment="1">
      <alignment horizontal="center"/>
    </xf>
    <xf numFmtId="1" fontId="2" fillId="0" borderId="14" xfId="2" applyNumberFormat="1" applyFont="1" applyBorder="1"/>
    <xf numFmtId="1" fontId="10" fillId="0" borderId="0" xfId="2" applyNumberFormat="1" applyFont="1" applyAlignment="1">
      <alignment horizontal="center" vertical="center"/>
    </xf>
    <xf numFmtId="1" fontId="2" fillId="0" borderId="24" xfId="2" applyNumberFormat="1" applyFont="1" applyBorder="1" applyAlignment="1">
      <alignment horizontal="right"/>
    </xf>
    <xf numFmtId="1" fontId="2" fillId="0" borderId="16" xfId="2" applyNumberFormat="1" applyFont="1" applyBorder="1" applyAlignment="1">
      <alignment horizontal="left" indent="1"/>
    </xf>
    <xf numFmtId="1" fontId="2" fillId="0" borderId="12" xfId="2" applyNumberFormat="1" applyFont="1" applyBorder="1" applyAlignment="1">
      <alignment horizontal="left" vertical="top" indent="1"/>
    </xf>
    <xf numFmtId="1" fontId="10" fillId="0" borderId="27" xfId="2" applyNumberFormat="1" applyFont="1" applyBorder="1" applyAlignment="1">
      <alignment horizontal="right"/>
    </xf>
    <xf numFmtId="1" fontId="10" fillId="0" borderId="18" xfId="2" applyNumberFormat="1" applyFont="1" applyBorder="1" applyAlignment="1">
      <alignment horizontal="center"/>
    </xf>
    <xf numFmtId="1" fontId="2" fillId="0" borderId="33" xfId="2" applyNumberFormat="1" applyFont="1" applyBorder="1" applyAlignment="1">
      <alignment horizontal="left" indent="1"/>
    </xf>
    <xf numFmtId="1" fontId="2" fillId="0" borderId="0" xfId="2" applyNumberFormat="1" applyFont="1" applyBorder="1"/>
    <xf numFmtId="164" fontId="2" fillId="0" borderId="0" xfId="2" applyNumberFormat="1" applyFont="1" applyBorder="1" applyAlignment="1">
      <alignment horizontal="left" indent="1"/>
    </xf>
    <xf numFmtId="1" fontId="2" fillId="0" borderId="0" xfId="2" applyNumberFormat="1" applyFont="1" applyBorder="1" applyAlignment="1">
      <alignment horizontal="left" indent="1"/>
    </xf>
    <xf numFmtId="1" fontId="2" fillId="0" borderId="32" xfId="2" applyNumberFormat="1" applyFont="1" applyBorder="1" applyAlignment="1">
      <alignment horizontal="left" indent="1"/>
    </xf>
    <xf numFmtId="1" fontId="14" fillId="0" borderId="32" xfId="5" applyNumberFormat="1" applyFont="1" applyFill="1" applyBorder="1" applyAlignment="1">
      <alignment horizontal="left" indent="1"/>
    </xf>
    <xf numFmtId="1" fontId="2" fillId="0" borderId="34" xfId="2" applyNumberFormat="1" applyFont="1" applyBorder="1" applyAlignment="1">
      <alignment horizontal="left" indent="1"/>
    </xf>
    <xf numFmtId="1" fontId="2" fillId="0" borderId="32" xfId="2" applyNumberFormat="1" applyFont="1" applyBorder="1"/>
    <xf numFmtId="1" fontId="2" fillId="0" borderId="35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9" fontId="2" fillId="0" borderId="35" xfId="2" applyNumberFormat="1" applyFont="1" applyBorder="1" applyAlignment="1">
      <alignment horizontal="center"/>
    </xf>
    <xf numFmtId="1" fontId="15" fillId="0" borderId="35" xfId="2" applyNumberFormat="1" applyFont="1" applyBorder="1" applyAlignment="1">
      <alignment vertical="top" wrapText="1"/>
    </xf>
    <xf numFmtId="1" fontId="2" fillId="0" borderId="34" xfId="2" applyNumberFormat="1" applyFont="1" applyBorder="1"/>
    <xf numFmtId="1" fontId="2" fillId="0" borderId="0" xfId="2" applyNumberFormat="1" applyFont="1" applyBorder="1" applyAlignment="1">
      <alignment horizontal="center"/>
    </xf>
    <xf numFmtId="1" fontId="10" fillId="0" borderId="0" xfId="2" applyNumberFormat="1" applyFont="1" applyBorder="1"/>
    <xf numFmtId="1" fontId="2" fillId="0" borderId="0" xfId="2" applyNumberFormat="1" applyFont="1" applyBorder="1" applyAlignment="1">
      <alignment horizontal="left"/>
    </xf>
    <xf numFmtId="1" fontId="2" fillId="0" borderId="33" xfId="2" applyNumberFormat="1" applyFont="1" applyBorder="1"/>
    <xf numFmtId="1" fontId="2" fillId="0" borderId="0" xfId="2" applyNumberFormat="1" applyFont="1" applyBorder="1" applyAlignment="1">
      <alignment wrapText="1"/>
    </xf>
    <xf numFmtId="1" fontId="2" fillId="0" borderId="32" xfId="2" applyNumberFormat="1" applyFont="1" applyBorder="1" applyAlignment="1">
      <alignment horizontal="right"/>
    </xf>
    <xf numFmtId="1" fontId="10" fillId="0" borderId="32" xfId="2" applyNumberFormat="1" applyFont="1" applyBorder="1" applyAlignment="1">
      <alignment horizontal="right"/>
    </xf>
    <xf numFmtId="1" fontId="2" fillId="0" borderId="34" xfId="2" applyNumberFormat="1" applyFont="1" applyBorder="1" applyAlignment="1">
      <alignment horizontal="right"/>
    </xf>
    <xf numFmtId="1" fontId="2" fillId="0" borderId="33" xfId="2" applyNumberFormat="1" applyFont="1" applyBorder="1" applyAlignment="1">
      <alignment horizontal="right"/>
    </xf>
    <xf numFmtId="1" fontId="2" fillId="0" borderId="35" xfId="2" applyNumberFormat="1" applyFont="1" applyBorder="1" applyAlignment="1">
      <alignment horizontal="right"/>
    </xf>
    <xf numFmtId="1" fontId="15" fillId="0" borderId="0" xfId="2" applyNumberFormat="1" applyFont="1" applyBorder="1"/>
    <xf numFmtId="1" fontId="2" fillId="0" borderId="5" xfId="2" applyNumberFormat="1" applyFont="1" applyBorder="1" applyAlignment="1">
      <alignment horizontal="right"/>
    </xf>
    <xf numFmtId="1" fontId="10" fillId="3" borderId="37" xfId="2" applyNumberFormat="1" applyFont="1" applyFill="1" applyBorder="1" applyAlignment="1">
      <alignment horizontal="right"/>
    </xf>
    <xf numFmtId="1" fontId="5" fillId="0" borderId="0" xfId="2" applyNumberFormat="1" applyFont="1" applyBorder="1"/>
    <xf numFmtId="1" fontId="5" fillId="0" borderId="0" xfId="2" applyNumberFormat="1" applyFont="1" applyBorder="1" applyAlignment="1">
      <alignment horizontal="center"/>
    </xf>
    <xf numFmtId="1" fontId="5" fillId="0" borderId="5" xfId="2" applyNumberFormat="1" applyFont="1" applyBorder="1" applyAlignment="1">
      <alignment horizontal="right"/>
    </xf>
    <xf numFmtId="1" fontId="20" fillId="0" borderId="0" xfId="2" applyNumberFormat="1" applyFont="1" applyBorder="1" applyAlignment="1">
      <alignment horizontal="center" vertical="center"/>
    </xf>
    <xf numFmtId="1" fontId="2" fillId="0" borderId="19" xfId="2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 indent="1"/>
    </xf>
    <xf numFmtId="1" fontId="2" fillId="0" borderId="32" xfId="2" applyNumberFormat="1" applyFont="1" applyBorder="1" applyAlignment="1">
      <alignment horizontal="right" wrapText="1"/>
    </xf>
    <xf numFmtId="1" fontId="2" fillId="0" borderId="32" xfId="2" applyNumberFormat="1" applyFont="1" applyBorder="1" applyAlignment="1">
      <alignment horizontal="right" vertical="center" wrapText="1"/>
    </xf>
    <xf numFmtId="1" fontId="2" fillId="0" borderId="35" xfId="2" applyNumberFormat="1" applyFont="1" applyBorder="1" applyAlignment="1">
      <alignment horizontal="center" vertical="center"/>
    </xf>
    <xf numFmtId="1" fontId="2" fillId="0" borderId="35" xfId="2" applyNumberFormat="1" applyFont="1" applyBorder="1"/>
    <xf numFmtId="1" fontId="10" fillId="0" borderId="37" xfId="2" applyNumberFormat="1" applyFont="1" applyBorder="1" applyAlignment="1">
      <alignment horizontal="right"/>
    </xf>
    <xf numFmtId="1" fontId="2" fillId="0" borderId="38" xfId="2" applyNumberFormat="1" applyFont="1" applyBorder="1"/>
    <xf numFmtId="1" fontId="2" fillId="0" borderId="41" xfId="2" applyNumberFormat="1" applyFont="1" applyBorder="1" applyAlignment="1">
      <alignment horizontal="left" indent="1"/>
    </xf>
    <xf numFmtId="1" fontId="2" fillId="0" borderId="42" xfId="2" applyNumberFormat="1" applyFont="1" applyBorder="1"/>
    <xf numFmtId="1" fontId="2" fillId="0" borderId="42" xfId="2" applyNumberFormat="1" applyFont="1" applyBorder="1" applyAlignment="1">
      <alignment horizontal="center"/>
    </xf>
    <xf numFmtId="1" fontId="20" fillId="0" borderId="43" xfId="2" applyNumberFormat="1" applyFont="1" applyBorder="1" applyAlignment="1">
      <alignment horizontal="left"/>
    </xf>
    <xf numFmtId="0" fontId="16" fillId="0" borderId="39" xfId="2" applyFont="1" applyBorder="1"/>
    <xf numFmtId="1" fontId="8" fillId="0" borderId="39" xfId="2" applyNumberFormat="1" applyFont="1" applyBorder="1" applyAlignment="1">
      <alignment horizontal="right"/>
    </xf>
    <xf numFmtId="1" fontId="16" fillId="0" borderId="39" xfId="2" applyNumberFormat="1" applyFont="1" applyBorder="1"/>
    <xf numFmtId="0" fontId="16" fillId="0" borderId="39" xfId="2" applyFont="1" applyBorder="1" applyAlignment="1">
      <alignment horizontal="right"/>
    </xf>
    <xf numFmtId="1" fontId="8" fillId="0" borderId="40" xfId="2" applyNumberFormat="1" applyFont="1" applyBorder="1" applyAlignment="1">
      <alignment horizontal="right"/>
    </xf>
    <xf numFmtId="1" fontId="2" fillId="0" borderId="44" xfId="2" applyNumberFormat="1" applyFont="1" applyBorder="1"/>
    <xf numFmtId="1" fontId="2" fillId="0" borderId="29" xfId="2" applyNumberFormat="1" applyFont="1" applyBorder="1"/>
    <xf numFmtId="1" fontId="10" fillId="0" borderId="45" xfId="2" applyNumberFormat="1" applyFont="1" applyBorder="1"/>
    <xf numFmtId="1" fontId="2" fillId="0" borderId="30" xfId="2" applyNumberFormat="1" applyFont="1" applyBorder="1"/>
    <xf numFmtId="1" fontId="15" fillId="0" borderId="30" xfId="2" applyNumberFormat="1" applyFont="1" applyBorder="1" applyAlignment="1">
      <alignment horizontal="left"/>
    </xf>
    <xf numFmtId="1" fontId="21" fillId="0" borderId="30" xfId="2" applyNumberFormat="1" applyFont="1" applyBorder="1" applyAlignment="1">
      <alignment horizontal="left"/>
    </xf>
    <xf numFmtId="1" fontId="15" fillId="0" borderId="31" xfId="2" applyNumberFormat="1" applyFont="1" applyBorder="1" applyAlignment="1">
      <alignment horizontal="left"/>
    </xf>
    <xf numFmtId="1" fontId="10" fillId="0" borderId="30" xfId="2" applyNumberFormat="1" applyFont="1" applyBorder="1"/>
    <xf numFmtId="1" fontId="2" fillId="0" borderId="31" xfId="2" applyNumberFormat="1" applyFont="1" applyBorder="1"/>
    <xf numFmtId="1" fontId="2" fillId="0" borderId="9" xfId="2" applyNumberFormat="1" applyFont="1" applyBorder="1" applyAlignment="1">
      <alignment horizontal="left" wrapText="1" indent="1"/>
    </xf>
    <xf numFmtId="1" fontId="2" fillId="0" borderId="0" xfId="2" applyNumberFormat="1" applyFont="1" applyBorder="1" applyAlignment="1">
      <alignment horizontal="left" wrapText="1" indent="1"/>
    </xf>
    <xf numFmtId="1" fontId="2" fillId="0" borderId="32" xfId="2" applyNumberFormat="1" applyFont="1" applyBorder="1" applyAlignment="1">
      <alignment horizontal="left" wrapText="1" indent="1"/>
    </xf>
    <xf numFmtId="1" fontId="27" fillId="2" borderId="29" xfId="1" applyNumberFormat="1" applyFont="1" applyFill="1" applyBorder="1" applyAlignment="1">
      <alignment horizontal="center"/>
    </xf>
    <xf numFmtId="1" fontId="27" fillId="2" borderId="30" xfId="1" applyNumberFormat="1" applyFont="1" applyFill="1" applyBorder="1" applyAlignment="1">
      <alignment horizontal="center"/>
    </xf>
    <xf numFmtId="1" fontId="27" fillId="2" borderId="31" xfId="1" applyNumberFormat="1" applyFont="1" applyFill="1" applyBorder="1" applyAlignment="1">
      <alignment horizontal="center"/>
    </xf>
    <xf numFmtId="1" fontId="27" fillId="2" borderId="1" xfId="1" applyNumberFormat="1" applyFont="1" applyFill="1" applyBorder="1" applyAlignment="1">
      <alignment horizontal="center"/>
    </xf>
    <xf numFmtId="1" fontId="27" fillId="2" borderId="0" xfId="1" applyNumberFormat="1" applyFont="1" applyFill="1" applyBorder="1" applyAlignment="1">
      <alignment horizontal="center"/>
    </xf>
    <xf numFmtId="1" fontId="27" fillId="2" borderId="32" xfId="1" applyNumberFormat="1" applyFont="1" applyFill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0" fontId="7" fillId="3" borderId="4" xfId="4" applyFont="1" applyFill="1" applyBorder="1" applyAlignment="1">
      <alignment horizontal="center" vertical="center"/>
    </xf>
    <xf numFmtId="1" fontId="8" fillId="0" borderId="0" xfId="2" applyNumberFormat="1" applyFont="1" applyBorder="1" applyAlignment="1">
      <alignment horizontal="left" wrapText="1"/>
    </xf>
    <xf numFmtId="1" fontId="8" fillId="0" borderId="32" xfId="2" applyNumberFormat="1" applyFont="1" applyBorder="1" applyAlignment="1">
      <alignment horizontal="left" wrapText="1"/>
    </xf>
    <xf numFmtId="1" fontId="2" fillId="0" borderId="0" xfId="2" applyNumberFormat="1" applyFont="1" applyAlignment="1">
      <alignment horizontal="left" vertical="center" wrapText="1"/>
    </xf>
    <xf numFmtId="1" fontId="17" fillId="0" borderId="14" xfId="2" applyNumberFormat="1" applyFont="1" applyBorder="1" applyAlignment="1">
      <alignment horizontal="center"/>
    </xf>
    <xf numFmtId="1" fontId="17" fillId="0" borderId="35" xfId="2" applyNumberFormat="1" applyFont="1" applyBorder="1" applyAlignment="1">
      <alignment horizontal="center"/>
    </xf>
    <xf numFmtId="1" fontId="2" fillId="0" borderId="15" xfId="2" applyNumberFormat="1" applyFont="1" applyBorder="1" applyAlignment="1">
      <alignment horizontal="left" indent="2"/>
    </xf>
    <xf numFmtId="1" fontId="2" fillId="0" borderId="17" xfId="2" applyNumberFormat="1" applyFont="1" applyBorder="1" applyAlignment="1">
      <alignment horizontal="left" indent="2"/>
    </xf>
    <xf numFmtId="1" fontId="2" fillId="0" borderId="14" xfId="2" applyNumberFormat="1" applyFont="1" applyBorder="1" applyAlignment="1">
      <alignment horizontal="center"/>
    </xf>
    <xf numFmtId="1" fontId="2" fillId="0" borderId="35" xfId="2" applyNumberFormat="1" applyFont="1" applyBorder="1" applyAlignment="1">
      <alignment horizontal="center"/>
    </xf>
    <xf numFmtId="0" fontId="16" fillId="0" borderId="15" xfId="2" applyFont="1" applyBorder="1" applyAlignment="1">
      <alignment horizontal="center" wrapText="1"/>
    </xf>
    <xf numFmtId="0" fontId="16" fillId="0" borderId="16" xfId="2" applyFont="1" applyBorder="1" applyAlignment="1">
      <alignment horizontal="center" wrapText="1"/>
    </xf>
    <xf numFmtId="0" fontId="16" fillId="0" borderId="36" xfId="2" applyFont="1" applyBorder="1" applyAlignment="1">
      <alignment horizontal="center" wrapText="1"/>
    </xf>
    <xf numFmtId="0" fontId="16" fillId="0" borderId="6" xfId="2" applyFont="1" applyBorder="1" applyAlignment="1">
      <alignment horizontal="center" wrapText="1"/>
    </xf>
    <xf numFmtId="0" fontId="16" fillId="0" borderId="7" xfId="2" applyFont="1" applyBorder="1" applyAlignment="1">
      <alignment horizontal="center" wrapText="1"/>
    </xf>
    <xf numFmtId="0" fontId="16" fillId="0" borderId="33" xfId="2" applyFont="1" applyBorder="1" applyAlignment="1">
      <alignment horizontal="center" wrapText="1"/>
    </xf>
    <xf numFmtId="1" fontId="2" fillId="0" borderId="24" xfId="2" applyNumberFormat="1" applyFont="1" applyBorder="1" applyAlignment="1">
      <alignment horizontal="right" vertical="center"/>
    </xf>
    <xf numFmtId="1" fontId="2" fillId="0" borderId="28" xfId="2" applyNumberFormat="1" applyFont="1" applyBorder="1" applyAlignment="1">
      <alignment horizontal="right" vertical="center"/>
    </xf>
    <xf numFmtId="0" fontId="16" fillId="0" borderId="39" xfId="2" applyFont="1" applyBorder="1" applyAlignment="1">
      <alignment horizontal="center"/>
    </xf>
    <xf numFmtId="0" fontId="16" fillId="0" borderId="40" xfId="2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8" fillId="0" borderId="35" xfId="2" applyFont="1" applyBorder="1" applyAlignment="1">
      <alignment horizontal="center"/>
    </xf>
    <xf numFmtId="1" fontId="15" fillId="0" borderId="15" xfId="2" applyNumberFormat="1" applyFont="1" applyBorder="1" applyAlignment="1">
      <alignment horizontal="left" vertical="center" wrapText="1" indent="1"/>
    </xf>
    <xf numFmtId="1" fontId="15" fillId="0" borderId="17" xfId="2" applyNumberFormat="1" applyFont="1" applyBorder="1" applyAlignment="1">
      <alignment horizontal="left" vertical="center" wrapText="1" indent="1"/>
    </xf>
    <xf numFmtId="1" fontId="2" fillId="0" borderId="0" xfId="0" applyNumberFormat="1" applyFont="1" applyBorder="1" applyAlignment="1">
      <alignment horizontal="left" wrapText="1" indent="1"/>
    </xf>
    <xf numFmtId="1" fontId="10" fillId="0" borderId="14" xfId="2" applyNumberFormat="1" applyFont="1" applyBorder="1" applyAlignment="1">
      <alignment horizontal="center" vertical="center"/>
    </xf>
    <xf numFmtId="1" fontId="10" fillId="0" borderId="35" xfId="2" applyNumberFormat="1" applyFont="1" applyBorder="1" applyAlignment="1">
      <alignment horizontal="center" vertical="center"/>
    </xf>
  </cellXfs>
  <cellStyles count="7">
    <cellStyle name="Hyperlink 2" xfId="3" xr:uid="{AFADE43D-AB21-4DE3-8985-504216449F26}"/>
    <cellStyle name="Hyperlink 3" xfId="5" xr:uid="{AC5C116B-9CE8-45A7-9A5E-35EE2D9DC496}"/>
    <cellStyle name="Normal" xfId="0" builtinId="0"/>
    <cellStyle name="Normal 2 2" xfId="4" xr:uid="{6FCBCBE0-F79B-42E0-906C-1E8E78797D94}"/>
    <cellStyle name="Normal 4" xfId="1" xr:uid="{882DD931-0EEF-4524-B01F-4B1EA7D26EA4}"/>
    <cellStyle name="Normal 7" xfId="2" xr:uid="{38EF345C-593C-482D-A5E5-8FCBA90BE824}"/>
    <cellStyle name="Percent 2" xfId="6" xr:uid="{A63468C5-C193-41BF-A01E-27F49BC87A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D73B8-D599-411C-A857-D8532EADC4BF}">
  <sheetPr>
    <pageSetUpPr fitToPage="1"/>
  </sheetPr>
  <dimension ref="A1:N121"/>
  <sheetViews>
    <sheetView tabSelected="1" zoomScaleNormal="100" workbookViewId="0">
      <pane ySplit="2" topLeftCell="A36" activePane="bottomLeft" state="frozen"/>
      <selection pane="bottomLeft" activeCell="F12" sqref="F12"/>
    </sheetView>
  </sheetViews>
  <sheetFormatPr defaultColWidth="15.6640625" defaultRowHeight="20.100000000000001" customHeight="1" x14ac:dyDescent="0.25"/>
  <cols>
    <col min="1" max="1" width="6.77734375" style="1" customWidth="1"/>
    <col min="2" max="3" width="15.6640625" style="1" customWidth="1"/>
    <col min="4" max="4" width="17.5546875" style="1" customWidth="1"/>
    <col min="5" max="5" width="15.6640625" style="1"/>
    <col min="6" max="6" width="20.5546875" style="1" customWidth="1"/>
    <col min="7" max="7" width="15.6640625" style="1"/>
    <col min="8" max="8" width="5.88671875" style="1" customWidth="1"/>
    <col min="9" max="9" width="11" style="1" customWidth="1"/>
    <col min="10" max="10" width="22.44140625" style="1" customWidth="1"/>
    <col min="11" max="16384" width="15.6640625" style="1"/>
  </cols>
  <sheetData>
    <row r="1" spans="1:14" ht="18.600000000000001" customHeight="1" x14ac:dyDescent="0.35">
      <c r="A1" s="189" t="s">
        <v>0</v>
      </c>
      <c r="B1" s="190"/>
      <c r="C1" s="190"/>
      <c r="D1" s="190"/>
      <c r="E1" s="190"/>
      <c r="F1" s="190"/>
      <c r="G1" s="191"/>
    </row>
    <row r="2" spans="1:14" ht="14.4" customHeight="1" thickBot="1" x14ac:dyDescent="0.4">
      <c r="A2" s="192" t="s">
        <v>1</v>
      </c>
      <c r="B2" s="193"/>
      <c r="C2" s="193"/>
      <c r="D2" s="193"/>
      <c r="E2" s="193"/>
      <c r="F2" s="193"/>
      <c r="G2" s="194"/>
    </row>
    <row r="3" spans="1:14" ht="14.4" customHeight="1" x14ac:dyDescent="0.25">
      <c r="A3" s="195" t="s">
        <v>2</v>
      </c>
      <c r="B3" s="196"/>
      <c r="C3" s="196"/>
      <c r="D3" s="196"/>
      <c r="E3" s="196"/>
      <c r="F3" s="196"/>
      <c r="G3" s="197"/>
      <c r="H3" s="2"/>
      <c r="I3" s="198" t="s">
        <v>3</v>
      </c>
      <c r="J3" s="199"/>
      <c r="K3" s="199"/>
      <c r="L3" s="199"/>
      <c r="M3" s="200"/>
      <c r="N3" s="2"/>
    </row>
    <row r="4" spans="1:14" ht="16.5" customHeight="1" x14ac:dyDescent="0.25">
      <c r="A4" s="16"/>
      <c r="B4" s="201" t="s">
        <v>4</v>
      </c>
      <c r="C4" s="201"/>
      <c r="D4" s="201"/>
      <c r="E4" s="201"/>
      <c r="F4" s="201"/>
      <c r="G4" s="202"/>
      <c r="H4" s="3"/>
      <c r="I4" s="4" t="s">
        <v>5</v>
      </c>
      <c r="M4" s="5"/>
    </row>
    <row r="5" spans="1:14" ht="18.899999999999999" customHeight="1" x14ac:dyDescent="0.25">
      <c r="A5" s="16"/>
      <c r="B5" s="6" t="s">
        <v>6</v>
      </c>
      <c r="C5" s="7"/>
      <c r="D5" s="8"/>
      <c r="E5" s="9" t="s">
        <v>7</v>
      </c>
      <c r="F5" s="10"/>
      <c r="G5" s="129"/>
      <c r="H5" s="11"/>
      <c r="I5" s="12"/>
      <c r="J5" s="1" t="s">
        <v>8</v>
      </c>
      <c r="K5" s="13" t="s">
        <v>9</v>
      </c>
      <c r="L5" s="1">
        <f>+G37</f>
        <v>600000</v>
      </c>
      <c r="M5" s="5"/>
    </row>
    <row r="6" spans="1:14" ht="15.75" customHeight="1" x14ac:dyDescent="0.25">
      <c r="A6" s="16"/>
      <c r="B6" s="14" t="s">
        <v>10</v>
      </c>
      <c r="C6" s="130"/>
      <c r="D6" s="15"/>
      <c r="E6" s="131">
        <v>40299</v>
      </c>
      <c r="F6" s="132"/>
      <c r="G6" s="133"/>
      <c r="H6" s="11"/>
      <c r="I6" s="16"/>
      <c r="J6" s="1" t="s">
        <v>11</v>
      </c>
      <c r="L6" s="17">
        <f>+G38*0</f>
        <v>0</v>
      </c>
      <c r="M6" s="5"/>
    </row>
    <row r="7" spans="1:14" ht="18.899999999999999" customHeight="1" x14ac:dyDescent="0.25">
      <c r="A7" s="16"/>
      <c r="B7" s="14" t="s">
        <v>12</v>
      </c>
      <c r="C7" s="130"/>
      <c r="D7" s="15"/>
      <c r="E7" s="186" t="s">
        <v>13</v>
      </c>
      <c r="F7" s="187"/>
      <c r="G7" s="188"/>
      <c r="H7" s="18"/>
      <c r="I7" s="16"/>
      <c r="K7" s="13" t="s">
        <v>14</v>
      </c>
      <c r="L7" s="1">
        <f>L5-L6</f>
        <v>600000</v>
      </c>
      <c r="M7" s="5"/>
    </row>
    <row r="8" spans="1:14" ht="18.899999999999999" customHeight="1" x14ac:dyDescent="0.25">
      <c r="A8" s="16"/>
      <c r="B8" s="19" t="s">
        <v>15</v>
      </c>
      <c r="C8" s="130"/>
      <c r="D8" s="15"/>
      <c r="E8" s="19" t="s">
        <v>16</v>
      </c>
      <c r="F8" s="132"/>
      <c r="G8" s="133"/>
      <c r="H8" s="11"/>
      <c r="I8" s="12"/>
      <c r="J8" s="1" t="s">
        <v>17</v>
      </c>
      <c r="K8" s="20">
        <f>ROUND(L7*0.3,0)</f>
        <v>180000</v>
      </c>
      <c r="M8" s="5"/>
    </row>
    <row r="9" spans="1:14" ht="18.899999999999999" customHeight="1" x14ac:dyDescent="0.25">
      <c r="A9" s="16"/>
      <c r="B9" s="19" t="s">
        <v>18</v>
      </c>
      <c r="C9" s="130"/>
      <c r="D9" s="15"/>
      <c r="E9" s="19">
        <v>9811116835</v>
      </c>
      <c r="F9" s="132"/>
      <c r="G9" s="133"/>
      <c r="H9" s="11"/>
      <c r="I9" s="16"/>
      <c r="J9" s="1" t="s">
        <v>19</v>
      </c>
      <c r="K9" s="21">
        <f>+G39</f>
        <v>750000</v>
      </c>
      <c r="L9" s="17">
        <f>K8+K9</f>
        <v>930000</v>
      </c>
      <c r="M9" s="5"/>
    </row>
    <row r="10" spans="1:14" ht="18.899999999999999" customHeight="1" x14ac:dyDescent="0.25">
      <c r="A10" s="16"/>
      <c r="B10" s="19" t="s">
        <v>20</v>
      </c>
      <c r="C10" s="130"/>
      <c r="D10" s="15"/>
      <c r="E10" s="19" t="s">
        <v>21</v>
      </c>
      <c r="F10" s="132"/>
      <c r="G10" s="133"/>
      <c r="H10" s="11"/>
      <c r="I10" s="16"/>
      <c r="J10" s="22" t="s">
        <v>22</v>
      </c>
      <c r="L10" s="22">
        <v>130000</v>
      </c>
      <c r="M10" s="23">
        <f>L7-L9+130000</f>
        <v>-200000</v>
      </c>
    </row>
    <row r="11" spans="1:14" ht="18.899999999999999" customHeight="1" x14ac:dyDescent="0.25">
      <c r="A11" s="16"/>
      <c r="B11" s="19" t="s">
        <v>23</v>
      </c>
      <c r="C11" s="130"/>
      <c r="D11" s="15"/>
      <c r="E11" s="19" t="s">
        <v>24</v>
      </c>
      <c r="F11" s="24"/>
      <c r="G11" s="134"/>
      <c r="H11" s="11"/>
      <c r="I11" s="4" t="s">
        <v>25</v>
      </c>
      <c r="M11" s="5"/>
    </row>
    <row r="12" spans="1:14" ht="18.899999999999999" customHeight="1" x14ac:dyDescent="0.25">
      <c r="A12" s="16"/>
      <c r="B12" s="19" t="s">
        <v>26</v>
      </c>
      <c r="C12" s="130"/>
      <c r="D12" s="15"/>
      <c r="E12" s="19" t="s">
        <v>27</v>
      </c>
      <c r="F12" s="132"/>
      <c r="G12" s="133"/>
      <c r="H12" s="24"/>
      <c r="I12" s="25">
        <v>301</v>
      </c>
      <c r="J12" s="1" t="s">
        <v>28</v>
      </c>
      <c r="K12" s="26">
        <f>+F42</f>
        <v>44258</v>
      </c>
      <c r="L12" s="1">
        <f>+G42</f>
        <v>8480000</v>
      </c>
      <c r="M12" s="5"/>
    </row>
    <row r="13" spans="1:14" ht="18.899999999999999" customHeight="1" x14ac:dyDescent="0.25">
      <c r="A13" s="16"/>
      <c r="B13" s="19" t="s">
        <v>29</v>
      </c>
      <c r="C13" s="130"/>
      <c r="D13" s="15"/>
      <c r="E13" s="19" t="s">
        <v>30</v>
      </c>
      <c r="F13" s="132"/>
      <c r="G13" s="133"/>
      <c r="H13" s="11"/>
      <c r="I13" s="27"/>
      <c r="J13" s="1" t="s">
        <v>31</v>
      </c>
      <c r="L13" s="1">
        <f>(+G44)*-1</f>
        <v>-80000</v>
      </c>
      <c r="M13" s="5"/>
    </row>
    <row r="14" spans="1:14" ht="18.899999999999999" customHeight="1" x14ac:dyDescent="0.25">
      <c r="A14" s="16"/>
      <c r="B14" s="19" t="s">
        <v>32</v>
      </c>
      <c r="C14" s="130"/>
      <c r="D14" s="15"/>
      <c r="E14" s="19" t="s">
        <v>33</v>
      </c>
      <c r="F14" s="132"/>
      <c r="G14" s="133"/>
      <c r="H14" s="11"/>
      <c r="I14" s="27">
        <v>105</v>
      </c>
      <c r="J14" s="1" t="s">
        <v>34</v>
      </c>
      <c r="K14" s="28"/>
      <c r="L14" s="17">
        <f>ROUND((G45*I12/I14)*-1,0)</f>
        <v>-2293333</v>
      </c>
      <c r="M14" s="5"/>
    </row>
    <row r="15" spans="1:14" ht="18.899999999999999" customHeight="1" x14ac:dyDescent="0.25">
      <c r="A15" s="16"/>
      <c r="B15" s="19" t="s">
        <v>35</v>
      </c>
      <c r="C15" s="130"/>
      <c r="D15" s="130"/>
      <c r="E15" s="19" t="s">
        <v>33</v>
      </c>
      <c r="F15" s="130"/>
      <c r="G15" s="133"/>
      <c r="H15" s="11"/>
      <c r="I15" s="29"/>
      <c r="L15" s="1">
        <f>SUM(L12:L14)</f>
        <v>6106667</v>
      </c>
      <c r="M15" s="5"/>
    </row>
    <row r="16" spans="1:14" ht="30" customHeight="1" x14ac:dyDescent="0.25">
      <c r="A16" s="16"/>
      <c r="B16" s="30" t="s">
        <v>36</v>
      </c>
      <c r="C16" s="130"/>
      <c r="D16" s="15"/>
      <c r="E16" s="186" t="s">
        <v>37</v>
      </c>
      <c r="F16" s="187"/>
      <c r="G16" s="188"/>
      <c r="H16" s="31"/>
      <c r="I16" s="32">
        <f>+F46</f>
        <v>44348</v>
      </c>
      <c r="J16" s="1" t="s">
        <v>38</v>
      </c>
      <c r="L16" s="17">
        <f>+G46-200000</f>
        <v>5000000</v>
      </c>
      <c r="M16" s="23">
        <f>L15-L16</f>
        <v>1106667</v>
      </c>
    </row>
    <row r="17" spans="1:13" ht="18.899999999999999" customHeight="1" x14ac:dyDescent="0.25">
      <c r="A17" s="16"/>
      <c r="B17" s="33"/>
      <c r="C17" s="17"/>
      <c r="D17" s="34"/>
      <c r="E17" s="33"/>
      <c r="F17" s="35"/>
      <c r="G17" s="135"/>
      <c r="H17" s="11"/>
      <c r="I17" s="4" t="s">
        <v>39</v>
      </c>
      <c r="M17" s="5"/>
    </row>
    <row r="18" spans="1:13" ht="17.399999999999999" customHeight="1" x14ac:dyDescent="0.25">
      <c r="A18" s="16"/>
      <c r="B18" s="132" t="s">
        <v>40</v>
      </c>
      <c r="C18" s="130"/>
      <c r="D18" s="130"/>
      <c r="E18" s="130"/>
      <c r="F18" s="50"/>
      <c r="G18" s="136"/>
      <c r="I18" s="16"/>
      <c r="J18" s="1" t="s">
        <v>41</v>
      </c>
      <c r="M18" s="5"/>
    </row>
    <row r="19" spans="1:13" ht="20.100000000000001" customHeight="1" x14ac:dyDescent="0.25">
      <c r="A19" s="16"/>
      <c r="B19" s="36" t="s">
        <v>42</v>
      </c>
      <c r="C19" s="37"/>
      <c r="D19" s="38"/>
      <c r="E19" s="50" t="s">
        <v>43</v>
      </c>
      <c r="F19" s="50" t="s">
        <v>44</v>
      </c>
      <c r="G19" s="137" t="s">
        <v>45</v>
      </c>
      <c r="H19" s="13"/>
      <c r="I19" s="16"/>
      <c r="J19" s="1" t="s">
        <v>46</v>
      </c>
      <c r="M19" s="23">
        <f>+G49</f>
        <v>30000</v>
      </c>
    </row>
    <row r="20" spans="1:13" ht="20.100000000000001" customHeight="1" x14ac:dyDescent="0.25">
      <c r="A20" s="16"/>
      <c r="B20" s="36" t="s">
        <v>47</v>
      </c>
      <c r="C20" s="37"/>
      <c r="D20" s="38"/>
      <c r="E20" s="138">
        <f>+E6</f>
        <v>40299</v>
      </c>
      <c r="F20" s="138">
        <f>+E20</f>
        <v>40299</v>
      </c>
      <c r="G20" s="139">
        <f>+E20</f>
        <v>40299</v>
      </c>
      <c r="H20" s="13"/>
      <c r="I20" s="4" t="s">
        <v>48</v>
      </c>
      <c r="M20" s="5"/>
    </row>
    <row r="21" spans="1:13" ht="20.100000000000001" customHeight="1" x14ac:dyDescent="0.25">
      <c r="A21" s="16"/>
      <c r="B21" s="36" t="s">
        <v>49</v>
      </c>
      <c r="C21" s="37"/>
      <c r="D21" s="38"/>
      <c r="E21" s="39">
        <v>0.4</v>
      </c>
      <c r="F21" s="39">
        <v>0.4</v>
      </c>
      <c r="G21" s="140">
        <v>0.2</v>
      </c>
      <c r="H21" s="13"/>
      <c r="I21" s="12"/>
      <c r="J21" s="1" t="s">
        <v>50</v>
      </c>
      <c r="L21" s="1">
        <f>+K34</f>
        <v>4395500</v>
      </c>
      <c r="M21" s="5"/>
    </row>
    <row r="22" spans="1:13" ht="51" customHeight="1" x14ac:dyDescent="0.25">
      <c r="A22" s="16"/>
      <c r="B22" s="40" t="s">
        <v>51</v>
      </c>
      <c r="C22" s="37"/>
      <c r="D22" s="38"/>
      <c r="E22" s="41" t="s">
        <v>13</v>
      </c>
      <c r="F22" s="41" t="s">
        <v>52</v>
      </c>
      <c r="G22" s="141" t="s">
        <v>53</v>
      </c>
      <c r="H22" s="42"/>
      <c r="I22" s="16"/>
      <c r="J22" s="203" t="s">
        <v>54</v>
      </c>
      <c r="K22" s="203"/>
      <c r="L22" s="17">
        <v>2727300</v>
      </c>
      <c r="M22" s="23">
        <f>L21-L22</f>
        <v>1668200</v>
      </c>
    </row>
    <row r="23" spans="1:13" ht="20.100000000000001" customHeight="1" x14ac:dyDescent="0.25">
      <c r="A23" s="16"/>
      <c r="B23" s="43" t="s">
        <v>15</v>
      </c>
      <c r="C23" s="17"/>
      <c r="D23" s="34"/>
      <c r="E23" s="50" t="s">
        <v>55</v>
      </c>
      <c r="F23" s="50" t="s">
        <v>56</v>
      </c>
      <c r="G23" s="137" t="s">
        <v>57</v>
      </c>
      <c r="H23" s="13"/>
      <c r="I23" s="16"/>
      <c r="J23" s="1" t="s">
        <v>58</v>
      </c>
      <c r="K23" s="1">
        <f>+D82</f>
        <v>407950</v>
      </c>
      <c r="M23" s="5"/>
    </row>
    <row r="24" spans="1:13" ht="20.100000000000001" customHeight="1" x14ac:dyDescent="0.25">
      <c r="A24" s="16"/>
      <c r="B24" s="19" t="s">
        <v>59</v>
      </c>
      <c r="C24" s="130"/>
      <c r="D24" s="130"/>
      <c r="E24" s="130" t="str">
        <f>+E19</f>
        <v xml:space="preserve">Siddharth </v>
      </c>
      <c r="F24" s="130"/>
      <c r="G24" s="136"/>
      <c r="I24" s="44" t="s">
        <v>60</v>
      </c>
      <c r="J24" s="45" t="s">
        <v>61</v>
      </c>
      <c r="K24" s="1">
        <f>+G86</f>
        <v>157500</v>
      </c>
      <c r="L24" s="13" t="s">
        <v>62</v>
      </c>
      <c r="M24" s="5"/>
    </row>
    <row r="25" spans="1:13" ht="20.100000000000001" customHeight="1" x14ac:dyDescent="0.25">
      <c r="A25" s="16"/>
      <c r="B25" s="33" t="s">
        <v>63</v>
      </c>
      <c r="C25" s="17"/>
      <c r="D25" s="17"/>
      <c r="E25" s="17" t="s">
        <v>64</v>
      </c>
      <c r="F25" s="17"/>
      <c r="G25" s="142"/>
      <c r="I25" s="46" t="s">
        <v>65</v>
      </c>
      <c r="J25" s="1" t="s">
        <v>66</v>
      </c>
      <c r="K25" s="1">
        <f>G88</f>
        <v>630000</v>
      </c>
      <c r="L25" s="13" t="s">
        <v>67</v>
      </c>
      <c r="M25" s="5"/>
    </row>
    <row r="26" spans="1:13" ht="20.100000000000001" customHeight="1" x14ac:dyDescent="0.25">
      <c r="A26" s="16"/>
      <c r="B26" s="132" t="s">
        <v>68</v>
      </c>
      <c r="C26" s="130"/>
      <c r="D26" s="130"/>
      <c r="E26" s="143"/>
      <c r="F26" s="143" t="s">
        <v>69</v>
      </c>
      <c r="G26" s="136"/>
      <c r="I26" s="46" t="s">
        <v>70</v>
      </c>
      <c r="J26" s="1" t="s">
        <v>71</v>
      </c>
      <c r="K26" s="1">
        <f>G87*1</f>
        <v>10000</v>
      </c>
      <c r="L26" s="13" t="s">
        <v>62</v>
      </c>
      <c r="M26" s="5"/>
    </row>
    <row r="27" spans="1:13" ht="20.100000000000001" customHeight="1" x14ac:dyDescent="0.25">
      <c r="A27" s="16"/>
      <c r="B27" s="49" t="s">
        <v>72</v>
      </c>
      <c r="C27" s="47"/>
      <c r="D27" s="204" t="s">
        <v>73</v>
      </c>
      <c r="E27" s="204"/>
      <c r="F27" s="204" t="s">
        <v>74</v>
      </c>
      <c r="G27" s="205"/>
      <c r="H27" s="48"/>
      <c r="I27" s="46" t="s">
        <v>75</v>
      </c>
      <c r="J27" s="1" t="s">
        <v>76</v>
      </c>
      <c r="K27" s="1">
        <f>G89*-1</f>
        <v>-10000</v>
      </c>
      <c r="L27" s="13" t="s">
        <v>77</v>
      </c>
      <c r="M27" s="5"/>
    </row>
    <row r="28" spans="1:13" ht="20.100000000000001" customHeight="1" x14ac:dyDescent="0.25">
      <c r="A28" s="16"/>
      <c r="B28" s="206" t="s">
        <v>78</v>
      </c>
      <c r="C28" s="207"/>
      <c r="D28" s="208">
        <v>25478963254</v>
      </c>
      <c r="E28" s="208"/>
      <c r="F28" s="208">
        <v>32568457835</v>
      </c>
      <c r="G28" s="209"/>
      <c r="H28" s="13"/>
      <c r="I28" s="16" t="s">
        <v>79</v>
      </c>
      <c r="J28" s="1" t="s">
        <v>80</v>
      </c>
      <c r="K28" s="1">
        <f>+D78</f>
        <v>274050</v>
      </c>
      <c r="L28" s="13" t="s">
        <v>81</v>
      </c>
      <c r="M28" s="5"/>
    </row>
    <row r="29" spans="1:13" ht="20.100000000000001" customHeight="1" x14ac:dyDescent="0.25">
      <c r="A29" s="16"/>
      <c r="B29" s="206" t="s">
        <v>82</v>
      </c>
      <c r="C29" s="207"/>
      <c r="D29" s="208" t="s">
        <v>83</v>
      </c>
      <c r="E29" s="208"/>
      <c r="F29" s="208" t="s">
        <v>84</v>
      </c>
      <c r="G29" s="209"/>
      <c r="H29" s="13"/>
      <c r="I29" s="46" t="s">
        <v>85</v>
      </c>
      <c r="J29" s="1" t="s">
        <v>86</v>
      </c>
      <c r="K29" s="1">
        <f>(+K58+L58)*-1</f>
        <v>-304000</v>
      </c>
      <c r="L29" s="13" t="s">
        <v>87</v>
      </c>
      <c r="M29" s="5"/>
    </row>
    <row r="30" spans="1:13" ht="20.100000000000001" customHeight="1" x14ac:dyDescent="0.25">
      <c r="A30" s="16"/>
      <c r="B30" s="206" t="s">
        <v>88</v>
      </c>
      <c r="C30" s="207"/>
      <c r="D30" s="208" t="s">
        <v>89</v>
      </c>
      <c r="E30" s="208"/>
      <c r="F30" s="208" t="s">
        <v>89</v>
      </c>
      <c r="G30" s="209"/>
      <c r="H30" s="13"/>
      <c r="I30" s="46" t="s">
        <v>90</v>
      </c>
      <c r="J30" s="1" t="s">
        <v>91</v>
      </c>
      <c r="K30" s="1">
        <f>+G50</f>
        <v>100000</v>
      </c>
      <c r="L30" s="13" t="s">
        <v>92</v>
      </c>
      <c r="M30" s="5"/>
    </row>
    <row r="31" spans="1:13" ht="20.100000000000001" customHeight="1" x14ac:dyDescent="0.25">
      <c r="A31" s="16"/>
      <c r="B31" s="51" t="s">
        <v>93</v>
      </c>
      <c r="C31" s="51"/>
      <c r="D31" s="208"/>
      <c r="E31" s="208"/>
      <c r="F31" s="208" t="s">
        <v>33</v>
      </c>
      <c r="G31" s="209"/>
      <c r="H31" s="13"/>
      <c r="I31" s="46" t="s">
        <v>94</v>
      </c>
      <c r="J31" s="1" t="s">
        <v>95</v>
      </c>
      <c r="K31" s="52">
        <f>D79-(D101+D102+D103)*0.12</f>
        <v>250000.00000000023</v>
      </c>
      <c r="L31" s="13" t="s">
        <v>67</v>
      </c>
      <c r="M31" s="5"/>
    </row>
    <row r="32" spans="1:13" ht="20.100000000000001" customHeight="1" x14ac:dyDescent="0.25">
      <c r="A32" s="16"/>
      <c r="B32" s="132" t="s">
        <v>96</v>
      </c>
      <c r="C32" s="130"/>
      <c r="D32" s="130"/>
      <c r="E32" s="130"/>
      <c r="F32" s="138">
        <v>44628</v>
      </c>
      <c r="G32" s="136"/>
      <c r="I32" s="46"/>
      <c r="J32" s="53" t="s">
        <v>97</v>
      </c>
      <c r="K32" s="53">
        <f>SUM(K23:K31)</f>
        <v>1515500.0000000002</v>
      </c>
      <c r="M32" s="5"/>
    </row>
    <row r="33" spans="1:13" ht="20.100000000000001" customHeight="1" x14ac:dyDescent="0.25">
      <c r="A33" s="16"/>
      <c r="B33" s="132" t="s">
        <v>98</v>
      </c>
      <c r="C33" s="130"/>
      <c r="D33" s="130"/>
      <c r="E33" s="130"/>
      <c r="F33" s="143" t="s">
        <v>99</v>
      </c>
      <c r="G33" s="136"/>
      <c r="I33" s="16"/>
      <c r="J33" s="1" t="s">
        <v>100</v>
      </c>
      <c r="K33" s="1">
        <f>+D80</f>
        <v>2880000</v>
      </c>
      <c r="M33" s="5"/>
    </row>
    <row r="34" spans="1:13" ht="20.100000000000001" customHeight="1" thickBot="1" x14ac:dyDescent="0.3">
      <c r="A34" s="16"/>
      <c r="B34" s="144" t="s">
        <v>101</v>
      </c>
      <c r="C34" s="130"/>
      <c r="D34" s="130"/>
      <c r="E34" s="145"/>
      <c r="F34" s="130"/>
      <c r="G34" s="136"/>
      <c r="I34" s="16"/>
      <c r="J34" s="1" t="s">
        <v>102</v>
      </c>
      <c r="K34" s="54">
        <f>K33+K32</f>
        <v>4395500</v>
      </c>
      <c r="M34" s="5"/>
    </row>
    <row r="35" spans="1:13" ht="20.100000000000001" customHeight="1" thickTop="1" x14ac:dyDescent="0.25">
      <c r="A35" s="16"/>
      <c r="B35" s="55" t="s">
        <v>103</v>
      </c>
      <c r="C35" s="7"/>
      <c r="D35" s="7"/>
      <c r="E35" s="56"/>
      <c r="F35" s="7"/>
      <c r="G35" s="146"/>
      <c r="I35" s="57" t="s">
        <v>104</v>
      </c>
      <c r="J35" s="1" t="s">
        <v>105</v>
      </c>
      <c r="K35" s="1">
        <f>300000*0.9</f>
        <v>270000</v>
      </c>
      <c r="M35" s="5"/>
    </row>
    <row r="36" spans="1:13" ht="30" customHeight="1" x14ac:dyDescent="0.25">
      <c r="A36" s="16"/>
      <c r="B36" s="186" t="s">
        <v>106</v>
      </c>
      <c r="C36" s="187"/>
      <c r="D36" s="187"/>
      <c r="E36" s="187"/>
      <c r="F36" s="187"/>
      <c r="G36" s="188"/>
      <c r="H36" s="31"/>
      <c r="I36" s="16"/>
      <c r="J36" s="1" t="s">
        <v>107</v>
      </c>
      <c r="K36" s="1">
        <f>(K34-300000)*0.6</f>
        <v>2457300</v>
      </c>
      <c r="M36" s="5"/>
    </row>
    <row r="37" spans="1:13" ht="20.100000000000001" customHeight="1" thickBot="1" x14ac:dyDescent="0.3">
      <c r="A37" s="16"/>
      <c r="B37" s="19" t="s">
        <v>108</v>
      </c>
      <c r="C37" s="147"/>
      <c r="D37" s="147"/>
      <c r="E37" s="147"/>
      <c r="F37" s="147"/>
      <c r="G37" s="148">
        <v>600000</v>
      </c>
      <c r="H37" s="20"/>
      <c r="I37" s="16"/>
      <c r="J37" s="1" t="s">
        <v>109</v>
      </c>
      <c r="K37" s="54">
        <f>SUM(K35:K36)</f>
        <v>2727300</v>
      </c>
      <c r="M37" s="5"/>
    </row>
    <row r="38" spans="1:13" ht="18" customHeight="1" thickTop="1" x14ac:dyDescent="0.25">
      <c r="A38" s="16"/>
      <c r="B38" s="19" t="s">
        <v>110</v>
      </c>
      <c r="C38" s="130"/>
      <c r="D38" s="130"/>
      <c r="E38" s="130"/>
      <c r="F38" s="143"/>
      <c r="G38" s="148">
        <f>ROUND(G37*0.05,0)</f>
        <v>30000</v>
      </c>
      <c r="H38" s="20"/>
      <c r="I38" s="46" t="s">
        <v>94</v>
      </c>
      <c r="J38" s="1" t="s">
        <v>111</v>
      </c>
      <c r="K38" s="58">
        <f>K33-K37</f>
        <v>152700</v>
      </c>
      <c r="L38" s="13" t="s">
        <v>67</v>
      </c>
      <c r="M38" s="59"/>
    </row>
    <row r="39" spans="1:13" ht="18.600000000000001" customHeight="1" x14ac:dyDescent="0.25">
      <c r="A39" s="16"/>
      <c r="B39" s="19" t="s">
        <v>112</v>
      </c>
      <c r="C39" s="130"/>
      <c r="D39" s="130"/>
      <c r="E39" s="130"/>
      <c r="F39" s="143"/>
      <c r="G39" s="148">
        <f>ROUND(G37*1.25,0)</f>
        <v>750000</v>
      </c>
      <c r="H39" s="20"/>
      <c r="I39" s="46"/>
      <c r="K39" s="60"/>
      <c r="L39" s="61" t="s">
        <v>113</v>
      </c>
      <c r="M39" s="23">
        <f>SUM(M4:M38)</f>
        <v>2604867</v>
      </c>
    </row>
    <row r="40" spans="1:13" ht="20.100000000000001" customHeight="1" thickBot="1" x14ac:dyDescent="0.3">
      <c r="A40" s="177"/>
      <c r="B40" s="168" t="s">
        <v>114</v>
      </c>
      <c r="C40" s="169"/>
      <c r="D40" s="169"/>
      <c r="E40" s="169"/>
      <c r="F40" s="170">
        <f>ROUND(+G37/10,0)</f>
        <v>60000</v>
      </c>
      <c r="G40" s="171"/>
      <c r="H40" s="63"/>
      <c r="I40" s="46"/>
      <c r="K40" s="64"/>
      <c r="L40" s="20" t="s">
        <v>115</v>
      </c>
      <c r="M40" s="59">
        <f>+G50</f>
        <v>100000</v>
      </c>
    </row>
    <row r="41" spans="1:13" ht="20.100000000000001" customHeight="1" x14ac:dyDescent="0.25">
      <c r="A41" s="178"/>
      <c r="B41" s="179" t="s">
        <v>116</v>
      </c>
      <c r="C41" s="180"/>
      <c r="D41" s="181" t="s">
        <v>117</v>
      </c>
      <c r="E41" s="181"/>
      <c r="F41" s="182" t="s">
        <v>118</v>
      </c>
      <c r="G41" s="183"/>
      <c r="H41" s="20"/>
      <c r="I41" s="46"/>
      <c r="K41" s="64"/>
      <c r="L41" s="61" t="s">
        <v>119</v>
      </c>
      <c r="M41" s="65">
        <f>M39-M40</f>
        <v>2504867</v>
      </c>
    </row>
    <row r="42" spans="1:13" ht="20.100000000000001" customHeight="1" x14ac:dyDescent="0.25">
      <c r="A42" s="16"/>
      <c r="B42" s="19" t="s">
        <v>120</v>
      </c>
      <c r="C42" s="130"/>
      <c r="D42" s="130" t="s">
        <v>121</v>
      </c>
      <c r="E42" s="130"/>
      <c r="F42" s="138">
        <v>44258</v>
      </c>
      <c r="G42" s="149">
        <f>ROUND(G43*1.06,0)</f>
        <v>8480000</v>
      </c>
      <c r="H42" s="20"/>
      <c r="I42" s="46"/>
      <c r="J42" s="66" t="s">
        <v>122</v>
      </c>
      <c r="K42" s="67">
        <v>0.3</v>
      </c>
      <c r="L42" s="1">
        <f>ROUND((M41-M16)*0.3,0)</f>
        <v>419460</v>
      </c>
      <c r="M42" s="5"/>
    </row>
    <row r="43" spans="1:13" ht="18.75" customHeight="1" x14ac:dyDescent="0.25">
      <c r="A43" s="16"/>
      <c r="B43" s="19" t="s">
        <v>123</v>
      </c>
      <c r="C43" s="130"/>
      <c r="D43" s="130"/>
      <c r="E43" s="130"/>
      <c r="F43" s="130"/>
      <c r="G43" s="149">
        <v>8000000</v>
      </c>
      <c r="H43" s="20"/>
      <c r="I43" s="46"/>
      <c r="J43" s="66" t="s">
        <v>124</v>
      </c>
      <c r="K43" s="67">
        <v>0.2</v>
      </c>
      <c r="L43" s="17">
        <f>ROUND(M16*K43,0)</f>
        <v>221333</v>
      </c>
      <c r="M43" s="5"/>
    </row>
    <row r="44" spans="1:13" ht="17.25" customHeight="1" x14ac:dyDescent="0.25">
      <c r="A44" s="16"/>
      <c r="B44" s="19" t="s">
        <v>125</v>
      </c>
      <c r="C44" s="130"/>
      <c r="D44" s="130"/>
      <c r="E44" s="130"/>
      <c r="F44" s="138"/>
      <c r="G44" s="148">
        <f>ROUND(G43*0.01,0)</f>
        <v>80000</v>
      </c>
      <c r="H44" s="20"/>
      <c r="I44" s="46"/>
      <c r="J44" s="66"/>
      <c r="K44" s="64"/>
      <c r="L44" s="1">
        <f>SUM(L42:L43)</f>
        <v>640793</v>
      </c>
      <c r="M44" s="5"/>
    </row>
    <row r="45" spans="1:13" ht="20.100000000000001" customHeight="1" x14ac:dyDescent="0.25">
      <c r="A45" s="16"/>
      <c r="B45" s="19" t="s">
        <v>126</v>
      </c>
      <c r="C45" s="130"/>
      <c r="D45" s="130" t="s">
        <v>127</v>
      </c>
      <c r="E45" s="130"/>
      <c r="F45" s="138">
        <v>37422</v>
      </c>
      <c r="G45" s="148">
        <f>ROUND(G43/10,0)</f>
        <v>800000</v>
      </c>
      <c r="H45" s="20"/>
      <c r="I45" s="46"/>
      <c r="J45" s="68" t="s">
        <v>128</v>
      </c>
      <c r="K45" s="67">
        <v>0.04</v>
      </c>
      <c r="L45" s="17">
        <f>ROUND(K45*L44,0)</f>
        <v>25632</v>
      </c>
      <c r="M45" s="5"/>
    </row>
    <row r="46" spans="1:13" ht="20.100000000000001" customHeight="1" x14ac:dyDescent="0.25">
      <c r="A46" s="16"/>
      <c r="B46" s="33" t="s">
        <v>129</v>
      </c>
      <c r="C46" s="17"/>
      <c r="D46" s="17"/>
      <c r="E46" s="17"/>
      <c r="F46" s="69">
        <f>F42+90</f>
        <v>44348</v>
      </c>
      <c r="G46" s="150">
        <f>ROUND(G43*0.65,0)</f>
        <v>5200000</v>
      </c>
      <c r="H46" s="20"/>
      <c r="I46" s="46"/>
      <c r="J46" s="1" t="s">
        <v>130</v>
      </c>
      <c r="K46" s="67"/>
      <c r="M46" s="23">
        <f>L44+L45</f>
        <v>666425</v>
      </c>
    </row>
    <row r="47" spans="1:13" ht="20.100000000000001" customHeight="1" x14ac:dyDescent="0.25">
      <c r="A47" s="16"/>
      <c r="B47" s="55" t="s">
        <v>131</v>
      </c>
      <c r="C47" s="7"/>
      <c r="D47" s="7"/>
      <c r="E47" s="130"/>
      <c r="F47" s="130"/>
      <c r="G47" s="151"/>
      <c r="H47" s="20"/>
      <c r="I47" s="16"/>
      <c r="J47" s="1" t="s">
        <v>132</v>
      </c>
      <c r="L47" s="1">
        <f>ROUND(L5*0.1,0)</f>
        <v>60000</v>
      </c>
      <c r="M47" s="5"/>
    </row>
    <row r="48" spans="1:13" ht="15.75" customHeight="1" x14ac:dyDescent="0.25">
      <c r="A48" s="16"/>
      <c r="B48" s="186" t="s">
        <v>133</v>
      </c>
      <c r="C48" s="187"/>
      <c r="D48" s="187"/>
      <c r="E48" s="187"/>
      <c r="F48" s="187"/>
      <c r="G48" s="148">
        <v>150000</v>
      </c>
      <c r="H48" s="20"/>
      <c r="I48" s="46"/>
      <c r="J48" s="1" t="s">
        <v>134</v>
      </c>
      <c r="L48" s="17">
        <f>G52+G53</f>
        <v>630000</v>
      </c>
      <c r="M48" s="59">
        <f>L47+L48</f>
        <v>690000</v>
      </c>
    </row>
    <row r="49" spans="1:13" ht="20.100000000000001" customHeight="1" x14ac:dyDescent="0.25">
      <c r="A49" s="16"/>
      <c r="B49" s="33" t="s">
        <v>135</v>
      </c>
      <c r="C49" s="35"/>
      <c r="D49" s="35"/>
      <c r="E49" s="35"/>
      <c r="F49" s="35"/>
      <c r="G49" s="150">
        <f>ROUND(G48/5,0)</f>
        <v>30000</v>
      </c>
      <c r="H49" s="20"/>
      <c r="I49" s="46"/>
      <c r="J49" s="70" t="s">
        <v>136</v>
      </c>
      <c r="M49" s="23">
        <f>M46-M48</f>
        <v>-23575</v>
      </c>
    </row>
    <row r="50" spans="1:13" ht="20.100000000000001" customHeight="1" x14ac:dyDescent="0.25">
      <c r="A50" s="16"/>
      <c r="B50" s="71" t="s">
        <v>137</v>
      </c>
      <c r="C50" s="7"/>
      <c r="D50" s="7"/>
      <c r="E50" s="7"/>
      <c r="F50" s="72"/>
      <c r="G50" s="151">
        <v>100000</v>
      </c>
      <c r="H50" s="20"/>
      <c r="I50" s="73"/>
      <c r="J50" s="74" t="s">
        <v>138</v>
      </c>
      <c r="K50" s="17"/>
      <c r="L50" s="17"/>
      <c r="M50" s="59"/>
    </row>
    <row r="51" spans="1:13" ht="17.25" customHeight="1" thickBot="1" x14ac:dyDescent="0.3">
      <c r="A51" s="16"/>
      <c r="B51" s="75" t="s">
        <v>139</v>
      </c>
      <c r="C51" s="130"/>
      <c r="D51" s="130"/>
      <c r="E51" s="130"/>
      <c r="F51" s="130"/>
      <c r="G51" s="148"/>
      <c r="H51" s="20"/>
      <c r="I51" s="76"/>
      <c r="J51" s="77" t="s">
        <v>136</v>
      </c>
      <c r="K51" s="78"/>
      <c r="L51" s="78" t="s">
        <v>140</v>
      </c>
      <c r="M51" s="79">
        <f>M49+M50</f>
        <v>-23575</v>
      </c>
    </row>
    <row r="52" spans="1:13" ht="18" customHeight="1" thickTop="1" x14ac:dyDescent="0.25">
      <c r="A52" s="16"/>
      <c r="B52" s="75" t="s">
        <v>141</v>
      </c>
      <c r="C52" s="130"/>
      <c r="D52" s="130"/>
      <c r="E52" s="130"/>
      <c r="F52" s="143"/>
      <c r="G52" s="148">
        <f>ROUND(G57/50,0)</f>
        <v>450000</v>
      </c>
      <c r="H52" s="20"/>
      <c r="I52" s="13"/>
    </row>
    <row r="53" spans="1:13" ht="20.100000000000001" customHeight="1" x14ac:dyDescent="0.25">
      <c r="A53" s="16"/>
      <c r="B53" s="80" t="s">
        <v>142</v>
      </c>
      <c r="C53" s="17"/>
      <c r="D53" s="17"/>
      <c r="E53" s="17"/>
      <c r="F53" s="62"/>
      <c r="G53" s="150">
        <f>ROUND(G52*0.4,0)</f>
        <v>180000</v>
      </c>
      <c r="H53" s="20"/>
      <c r="I53" s="13"/>
      <c r="K53" s="81">
        <v>0.15</v>
      </c>
      <c r="L53" s="81">
        <v>0.4</v>
      </c>
    </row>
    <row r="54" spans="1:13" ht="20.100000000000001" customHeight="1" x14ac:dyDescent="0.25">
      <c r="A54" s="16"/>
      <c r="B54" s="213" t="s">
        <v>143</v>
      </c>
      <c r="C54" s="214"/>
      <c r="D54" s="214"/>
      <c r="E54" s="214"/>
      <c r="F54" s="214"/>
      <c r="G54" s="215"/>
      <c r="H54" s="20"/>
      <c r="I54" s="13"/>
      <c r="K54" s="13" t="s">
        <v>144</v>
      </c>
      <c r="L54" s="13" t="s">
        <v>145</v>
      </c>
    </row>
    <row r="55" spans="1:13" ht="17.25" customHeight="1" x14ac:dyDescent="0.25">
      <c r="A55" s="16"/>
      <c r="B55" s="210" t="s">
        <v>146</v>
      </c>
      <c r="C55" s="211"/>
      <c r="D55" s="211"/>
      <c r="E55" s="211"/>
      <c r="F55" s="211"/>
      <c r="G55" s="212"/>
      <c r="H55" s="82"/>
      <c r="J55" s="1" t="s">
        <v>147</v>
      </c>
      <c r="K55" s="1">
        <f>(F93+F94-F96)*K53</f>
        <v>171000</v>
      </c>
      <c r="L55" s="1">
        <f>(G93+G94-G96)*L53</f>
        <v>68400</v>
      </c>
    </row>
    <row r="56" spans="1:13" ht="16.5" customHeight="1" x14ac:dyDescent="0.25">
      <c r="A56" s="16"/>
      <c r="B56" s="220" t="s">
        <v>148</v>
      </c>
      <c r="C56" s="220"/>
      <c r="D56" s="220"/>
      <c r="E56" s="220"/>
      <c r="F56" s="220"/>
      <c r="G56" s="221"/>
      <c r="H56" s="83"/>
      <c r="I56" s="53"/>
      <c r="J56" s="1" t="s">
        <v>149</v>
      </c>
      <c r="K56" s="1">
        <f>F95*K53/2</f>
        <v>9000</v>
      </c>
      <c r="L56" s="1">
        <f>G95*L53/2</f>
        <v>3600</v>
      </c>
    </row>
    <row r="57" spans="1:13" ht="18.899999999999999" customHeight="1" x14ac:dyDescent="0.25">
      <c r="A57" s="16"/>
      <c r="B57" s="84" t="s">
        <v>150</v>
      </c>
      <c r="C57" s="85"/>
      <c r="D57" s="86">
        <f>ROUND(G60*0.5,0)</f>
        <v>1138500</v>
      </c>
      <c r="E57" s="87" t="s">
        <v>151</v>
      </c>
      <c r="F57" s="88"/>
      <c r="G57" s="152">
        <v>22500000</v>
      </c>
      <c r="H57" s="20"/>
      <c r="I57" s="13"/>
      <c r="J57" s="1" t="s">
        <v>152</v>
      </c>
      <c r="K57" s="1">
        <f>F94*0.2+F95*0.1</f>
        <v>52000</v>
      </c>
    </row>
    <row r="58" spans="1:13" ht="18.899999999999999" customHeight="1" thickBot="1" x14ac:dyDescent="0.3">
      <c r="A58" s="16"/>
      <c r="B58" s="84" t="s">
        <v>153</v>
      </c>
      <c r="C58" s="85"/>
      <c r="D58" s="86">
        <f>ROUND(G57*0.54,0)</f>
        <v>12150000</v>
      </c>
      <c r="E58" s="87" t="s">
        <v>154</v>
      </c>
      <c r="F58" s="88"/>
      <c r="G58" s="152">
        <f>ROUND(G57*0.012,0)</f>
        <v>270000</v>
      </c>
      <c r="H58" s="20"/>
      <c r="I58" s="13"/>
      <c r="K58" s="54">
        <f>SUM(K55:K57)</f>
        <v>232000</v>
      </c>
      <c r="L58" s="54">
        <f>SUM(L55:L57)</f>
        <v>72000</v>
      </c>
      <c r="M58" s="1">
        <f>K58+L58</f>
        <v>304000</v>
      </c>
    </row>
    <row r="59" spans="1:13" ht="18.899999999999999" customHeight="1" thickTop="1" x14ac:dyDescent="0.25">
      <c r="A59" s="16"/>
      <c r="B59" s="84" t="s">
        <v>155</v>
      </c>
      <c r="C59" s="85"/>
      <c r="D59" s="86">
        <f>ROUND(D58*0.05,0)</f>
        <v>607500</v>
      </c>
      <c r="E59" s="87" t="s">
        <v>156</v>
      </c>
      <c r="F59" s="89"/>
      <c r="G59" s="152">
        <f>ROUND(G57*0.18,0)</f>
        <v>4050000</v>
      </c>
      <c r="H59" s="20"/>
      <c r="I59" s="13"/>
    </row>
    <row r="60" spans="1:13" ht="18.899999999999999" customHeight="1" x14ac:dyDescent="0.25">
      <c r="A60" s="16"/>
      <c r="B60" s="84" t="s">
        <v>157</v>
      </c>
      <c r="C60" s="85"/>
      <c r="D60" s="86">
        <f>ROUND(D58*0.12,0)</f>
        <v>1458000</v>
      </c>
      <c r="E60" s="87" t="s">
        <v>158</v>
      </c>
      <c r="F60" s="89"/>
      <c r="G60" s="152">
        <f>ROUND(G57/10+G58/10,0)</f>
        <v>2277000</v>
      </c>
      <c r="H60" s="20"/>
      <c r="I60" s="13"/>
    </row>
    <row r="61" spans="1:13" ht="18.899999999999999" customHeight="1" x14ac:dyDescent="0.25">
      <c r="A61" s="16"/>
      <c r="B61" s="84" t="s">
        <v>159</v>
      </c>
      <c r="C61" s="85"/>
      <c r="D61" s="86">
        <f>ROUND(G59/4,0)</f>
        <v>1012500</v>
      </c>
      <c r="E61" s="153"/>
      <c r="F61" s="143"/>
      <c r="G61" s="154"/>
      <c r="H61" s="20"/>
      <c r="I61" s="90">
        <v>1</v>
      </c>
      <c r="J61" s="91" t="s">
        <v>160</v>
      </c>
      <c r="K61" s="92"/>
      <c r="L61" s="92"/>
    </row>
    <row r="62" spans="1:13" ht="18.899999999999999" customHeight="1" x14ac:dyDescent="0.3">
      <c r="A62" s="16"/>
      <c r="B62" s="93" t="s">
        <v>161</v>
      </c>
      <c r="C62" s="94"/>
      <c r="D62" s="95">
        <f>D63-SUM(D57:D61)</f>
        <v>12730500</v>
      </c>
      <c r="E62" s="153"/>
      <c r="F62" s="143"/>
      <c r="G62" s="154"/>
      <c r="H62" s="20"/>
      <c r="I62" s="96"/>
      <c r="J62" s="97" t="s">
        <v>162</v>
      </c>
      <c r="K62" s="92"/>
      <c r="L62" s="92"/>
    </row>
    <row r="63" spans="1:13" ht="16.5" customHeight="1" thickBot="1" x14ac:dyDescent="0.3">
      <c r="A63" s="16"/>
      <c r="B63" s="98"/>
      <c r="C63" s="99"/>
      <c r="D63" s="100">
        <f>+G63</f>
        <v>29097000</v>
      </c>
      <c r="E63" s="101"/>
      <c r="F63" s="102"/>
      <c r="G63" s="155">
        <f>SUM(G57:G62)</f>
        <v>29097000</v>
      </c>
      <c r="H63" s="20"/>
      <c r="I63" s="96">
        <v>2</v>
      </c>
      <c r="J63" s="91" t="s">
        <v>163</v>
      </c>
      <c r="K63" s="92"/>
      <c r="L63" s="92"/>
    </row>
    <row r="64" spans="1:13" ht="18.899999999999999" customHeight="1" thickTop="1" x14ac:dyDescent="0.3">
      <c r="A64" s="16"/>
      <c r="B64" s="104" t="s">
        <v>164</v>
      </c>
      <c r="C64" s="105"/>
      <c r="D64" s="106">
        <f>G57*0.02</f>
        <v>450000</v>
      </c>
      <c r="E64" s="156" t="str">
        <f>+B62</f>
        <v>Gross Profit</v>
      </c>
      <c r="F64" s="157"/>
      <c r="G64" s="158">
        <f>+D62</f>
        <v>12730500</v>
      </c>
      <c r="H64" s="20"/>
      <c r="I64" s="90"/>
      <c r="J64" s="97" t="s">
        <v>165</v>
      </c>
      <c r="K64" s="92"/>
      <c r="L64" s="92"/>
    </row>
    <row r="65" spans="1:12" ht="18.899999999999999" customHeight="1" x14ac:dyDescent="0.25">
      <c r="A65" s="16"/>
      <c r="B65" s="84" t="s">
        <v>166</v>
      </c>
      <c r="C65" s="85"/>
      <c r="D65" s="86">
        <f>ROUND(+D61*1.1,0)</f>
        <v>1113750</v>
      </c>
      <c r="E65" s="130"/>
      <c r="F65" s="143"/>
      <c r="G65" s="154"/>
      <c r="H65" s="20"/>
      <c r="I65" s="96">
        <v>3</v>
      </c>
      <c r="J65" s="91" t="s">
        <v>167</v>
      </c>
      <c r="K65" s="107"/>
      <c r="L65" s="108" t="s">
        <v>168</v>
      </c>
    </row>
    <row r="66" spans="1:12" ht="18.899999999999999" customHeight="1" x14ac:dyDescent="0.3">
      <c r="A66" s="16"/>
      <c r="B66" s="84" t="s">
        <v>169</v>
      </c>
      <c r="C66" s="85"/>
      <c r="D66" s="86">
        <f>ROUND(+G58/2,0)</f>
        <v>135000</v>
      </c>
      <c r="E66" s="130"/>
      <c r="F66" s="143"/>
      <c r="G66" s="154"/>
      <c r="H66" s="20"/>
      <c r="I66" s="90"/>
      <c r="J66" s="97" t="s">
        <v>170</v>
      </c>
      <c r="K66" s="92"/>
      <c r="L66" s="92"/>
    </row>
    <row r="67" spans="1:12" ht="18.899999999999999" customHeight="1" x14ac:dyDescent="0.25">
      <c r="A67" s="16"/>
      <c r="B67" s="84" t="s">
        <v>171</v>
      </c>
      <c r="C67" s="85"/>
      <c r="D67" s="86">
        <f>ROUND(G57*0.12,0)</f>
        <v>2700000</v>
      </c>
      <c r="E67" s="130"/>
      <c r="F67" s="143"/>
      <c r="G67" s="154"/>
      <c r="H67" s="20"/>
      <c r="I67" s="90">
        <v>4</v>
      </c>
      <c r="J67" s="91" t="s">
        <v>172</v>
      </c>
      <c r="K67" s="92"/>
      <c r="L67" s="108" t="s">
        <v>168</v>
      </c>
    </row>
    <row r="68" spans="1:12" ht="18.899999999999999" customHeight="1" x14ac:dyDescent="0.3">
      <c r="A68" s="16"/>
      <c r="B68" s="84" t="s">
        <v>173</v>
      </c>
      <c r="C68" s="85"/>
      <c r="D68" s="86">
        <f>D67*0.05</f>
        <v>135000</v>
      </c>
      <c r="E68" s="130"/>
      <c r="F68" s="143"/>
      <c r="G68" s="154"/>
      <c r="H68" s="20"/>
      <c r="I68" s="107"/>
      <c r="J68" s="97" t="s">
        <v>170</v>
      </c>
      <c r="K68" s="92"/>
      <c r="L68" s="92"/>
    </row>
    <row r="69" spans="1:12" ht="18.899999999999999" customHeight="1" x14ac:dyDescent="0.25">
      <c r="A69" s="16"/>
      <c r="B69" s="84" t="s">
        <v>174</v>
      </c>
      <c r="C69" s="85"/>
      <c r="D69" s="86">
        <f>+D66+D64</f>
        <v>585000</v>
      </c>
      <c r="E69" s="130"/>
      <c r="F69" s="143"/>
      <c r="G69" s="154"/>
      <c r="H69" s="20"/>
      <c r="I69" s="13"/>
    </row>
    <row r="70" spans="1:12" ht="18.899999999999999" customHeight="1" x14ac:dyDescent="0.25">
      <c r="A70" s="16"/>
      <c r="B70" s="84" t="s">
        <v>175</v>
      </c>
      <c r="C70" s="85"/>
      <c r="D70" s="86">
        <f>ROUND(G57/125,0)</f>
        <v>180000</v>
      </c>
      <c r="E70" s="130"/>
      <c r="F70" s="143"/>
      <c r="G70" s="154"/>
      <c r="H70" s="20"/>
      <c r="I70" s="13"/>
    </row>
    <row r="71" spans="1:12" ht="18.899999999999999" customHeight="1" x14ac:dyDescent="0.25">
      <c r="A71" s="16"/>
      <c r="B71" s="84" t="s">
        <v>176</v>
      </c>
      <c r="C71" s="85"/>
      <c r="D71" s="86">
        <f>ROUND(D70*2.25,0)</f>
        <v>405000</v>
      </c>
      <c r="E71" s="130"/>
      <c r="F71" s="143"/>
      <c r="G71" s="154"/>
      <c r="H71" s="20"/>
      <c r="I71" s="13"/>
    </row>
    <row r="72" spans="1:12" ht="18.899999999999999" customHeight="1" x14ac:dyDescent="0.25">
      <c r="A72" s="16"/>
      <c r="B72" s="84" t="s">
        <v>177</v>
      </c>
      <c r="C72" s="85"/>
      <c r="D72" s="86">
        <f>ROUND(+D66/2,0)</f>
        <v>67500</v>
      </c>
      <c r="E72" s="130"/>
      <c r="F72" s="143"/>
      <c r="G72" s="154"/>
      <c r="H72" s="20"/>
      <c r="I72" s="13"/>
    </row>
    <row r="73" spans="1:12" ht="18.899999999999999" customHeight="1" x14ac:dyDescent="0.25">
      <c r="A73" s="16"/>
      <c r="B73" s="84" t="s">
        <v>178</v>
      </c>
      <c r="C73" s="85"/>
      <c r="D73" s="86">
        <f>D72+D70</f>
        <v>247500</v>
      </c>
      <c r="E73" s="130"/>
      <c r="F73" s="143"/>
      <c r="G73" s="154"/>
      <c r="H73" s="20"/>
      <c r="I73" s="13"/>
    </row>
    <row r="74" spans="1:12" ht="18.899999999999999" customHeight="1" x14ac:dyDescent="0.25">
      <c r="A74" s="16"/>
      <c r="B74" s="84" t="s">
        <v>179</v>
      </c>
      <c r="C74" s="85"/>
      <c r="D74" s="86">
        <f>ROUND(G58*0.4,0)</f>
        <v>108000</v>
      </c>
      <c r="E74" s="130"/>
      <c r="F74" s="143"/>
      <c r="G74" s="154"/>
      <c r="H74" s="20"/>
      <c r="I74" s="13"/>
    </row>
    <row r="75" spans="1:12" ht="18.899999999999999" customHeight="1" x14ac:dyDescent="0.25">
      <c r="A75" s="16"/>
      <c r="B75" s="84" t="s">
        <v>180</v>
      </c>
      <c r="C75" s="85"/>
      <c r="D75" s="86">
        <f>ROUND(D67*0.015,0)</f>
        <v>40500</v>
      </c>
      <c r="E75" s="130"/>
      <c r="F75" s="143"/>
      <c r="G75" s="154"/>
      <c r="H75" s="20"/>
      <c r="I75" s="13"/>
    </row>
    <row r="76" spans="1:12" ht="18.899999999999999" customHeight="1" x14ac:dyDescent="0.25">
      <c r="A76" s="16"/>
      <c r="B76" s="84" t="s">
        <v>181</v>
      </c>
      <c r="C76" s="85"/>
      <c r="D76" s="86">
        <f>ROUND(G57*0.016,0)</f>
        <v>360000</v>
      </c>
      <c r="E76" s="130"/>
      <c r="F76" s="143"/>
      <c r="G76" s="154"/>
      <c r="H76" s="20"/>
      <c r="I76" s="13"/>
    </row>
    <row r="77" spans="1:12" ht="18.899999999999999" customHeight="1" x14ac:dyDescent="0.25">
      <c r="A77" s="16"/>
      <c r="B77" s="84" t="s">
        <v>182</v>
      </c>
      <c r="C77" s="85"/>
      <c r="D77" s="86">
        <f>ROUND(G57*0.0035,0)</f>
        <v>78750</v>
      </c>
      <c r="E77" s="130"/>
      <c r="F77" s="143"/>
      <c r="G77" s="154"/>
      <c r="H77" s="20"/>
      <c r="I77" s="13"/>
    </row>
    <row r="78" spans="1:12" ht="18.899999999999999" customHeight="1" x14ac:dyDescent="0.25">
      <c r="A78" s="16"/>
      <c r="B78" s="84" t="s">
        <v>183</v>
      </c>
      <c r="C78" s="85"/>
      <c r="D78" s="86">
        <f>ROUND(F97*0.18+G97*0.25,0)</f>
        <v>274050</v>
      </c>
      <c r="E78" s="130"/>
      <c r="F78" s="143"/>
      <c r="G78" s="154"/>
      <c r="H78" s="20"/>
      <c r="I78" s="13"/>
    </row>
    <row r="79" spans="1:12" ht="18.899999999999999" customHeight="1" x14ac:dyDescent="0.25">
      <c r="A79" s="16"/>
      <c r="B79" s="84" t="s">
        <v>184</v>
      </c>
      <c r="C79" s="85"/>
      <c r="D79" s="86">
        <f>(D101+D102+D103)*0.14</f>
        <v>1750000.0000000002</v>
      </c>
      <c r="E79" s="130"/>
      <c r="F79" s="143"/>
      <c r="G79" s="154"/>
      <c r="H79" s="20"/>
      <c r="I79" s="13"/>
    </row>
    <row r="80" spans="1:12" ht="29.4" customHeight="1" x14ac:dyDescent="0.25">
      <c r="A80" s="16"/>
      <c r="B80" s="222" t="s">
        <v>185</v>
      </c>
      <c r="C80" s="223"/>
      <c r="D80" s="109">
        <f>80000*12*3</f>
        <v>2880000</v>
      </c>
      <c r="E80" s="130"/>
      <c r="F80" s="143"/>
      <c r="G80" s="154"/>
      <c r="H80" s="20"/>
      <c r="I80" s="13"/>
    </row>
    <row r="81" spans="1:12" ht="18.899999999999999" customHeight="1" x14ac:dyDescent="0.25">
      <c r="A81" s="16"/>
      <c r="B81" s="84" t="s">
        <v>186</v>
      </c>
      <c r="C81" s="85"/>
      <c r="D81" s="86">
        <f>G86+G88+25000</f>
        <v>812500</v>
      </c>
      <c r="E81" s="130"/>
      <c r="F81" s="143"/>
      <c r="G81" s="154"/>
      <c r="H81" s="20"/>
      <c r="I81" s="13"/>
    </row>
    <row r="82" spans="1:12" ht="18.899999999999999" customHeight="1" x14ac:dyDescent="0.25">
      <c r="A82" s="16"/>
      <c r="B82" s="93" t="s">
        <v>187</v>
      </c>
      <c r="C82" s="110"/>
      <c r="D82" s="111">
        <f>G83-SUM(D64:D81)</f>
        <v>407950</v>
      </c>
      <c r="E82" s="130"/>
      <c r="F82" s="159"/>
      <c r="G82" s="160"/>
      <c r="H82" s="20"/>
      <c r="I82" s="13"/>
    </row>
    <row r="83" spans="1:12" ht="18.899999999999999" customHeight="1" thickBot="1" x14ac:dyDescent="0.3">
      <c r="A83" s="16"/>
      <c r="B83" s="112"/>
      <c r="C83" s="113"/>
      <c r="D83" s="103">
        <f>+G83</f>
        <v>12730500</v>
      </c>
      <c r="E83" s="113"/>
      <c r="F83" s="114"/>
      <c r="G83" s="155">
        <f>SUM(G64:G82)</f>
        <v>12730500</v>
      </c>
      <c r="H83" s="115"/>
      <c r="I83" s="13"/>
    </row>
    <row r="84" spans="1:12" ht="18.899999999999999" customHeight="1" thickTop="1" thickBot="1" x14ac:dyDescent="0.3">
      <c r="A84" s="167"/>
      <c r="B84" s="172" t="s">
        <v>188</v>
      </c>
      <c r="C84" s="172"/>
      <c r="D84" s="173"/>
      <c r="E84" s="174"/>
      <c r="F84" s="175" t="s">
        <v>189</v>
      </c>
      <c r="G84" s="176">
        <f>G57</f>
        <v>22500000</v>
      </c>
      <c r="H84" s="115"/>
      <c r="I84" s="13"/>
    </row>
    <row r="85" spans="1:12" ht="19.5" customHeight="1" x14ac:dyDescent="0.25">
      <c r="A85" s="178"/>
      <c r="B85" s="184" t="s">
        <v>190</v>
      </c>
      <c r="C85" s="180"/>
      <c r="D85" s="180"/>
      <c r="E85" s="180"/>
      <c r="F85" s="180"/>
      <c r="G85" s="185"/>
    </row>
    <row r="86" spans="1:12" ht="15" customHeight="1" x14ac:dyDescent="0.25">
      <c r="A86" s="16"/>
      <c r="B86" s="132" t="s">
        <v>191</v>
      </c>
      <c r="C86" s="132"/>
      <c r="D86" s="132"/>
      <c r="E86" s="132"/>
      <c r="F86" s="132"/>
      <c r="G86" s="136">
        <f>ROUND(+D77*2,0)</f>
        <v>157500</v>
      </c>
    </row>
    <row r="87" spans="1:12" ht="19.5" customHeight="1" x14ac:dyDescent="0.25">
      <c r="A87" s="16"/>
      <c r="B87" s="187" t="s">
        <v>192</v>
      </c>
      <c r="C87" s="187"/>
      <c r="D87" s="187"/>
      <c r="E87" s="187"/>
      <c r="F87" s="187"/>
      <c r="G87" s="136">
        <v>10000</v>
      </c>
    </row>
    <row r="88" spans="1:12" ht="20.100000000000001" customHeight="1" x14ac:dyDescent="0.25">
      <c r="A88" s="16"/>
      <c r="B88" s="132" t="s">
        <v>193</v>
      </c>
      <c r="C88" s="132"/>
      <c r="D88" s="132"/>
      <c r="E88" s="132"/>
      <c r="F88" s="132"/>
      <c r="G88" s="136">
        <f>+G52+G53</f>
        <v>630000</v>
      </c>
    </row>
    <row r="89" spans="1:12" ht="18" customHeight="1" x14ac:dyDescent="0.25">
      <c r="A89" s="16"/>
      <c r="B89" s="161" t="s">
        <v>194</v>
      </c>
      <c r="C89" s="161"/>
      <c r="D89" s="161"/>
      <c r="E89" s="161"/>
      <c r="F89" s="161"/>
      <c r="G89" s="162">
        <v>10000</v>
      </c>
      <c r="H89" s="116"/>
      <c r="K89" s="13"/>
      <c r="L89" s="13"/>
    </row>
    <row r="90" spans="1:12" ht="30.75" customHeight="1" x14ac:dyDescent="0.25">
      <c r="A90" s="16"/>
      <c r="B90" s="224" t="s">
        <v>195</v>
      </c>
      <c r="C90" s="224"/>
      <c r="D90" s="224"/>
      <c r="E90" s="224"/>
      <c r="F90" s="224"/>
      <c r="G90" s="163">
        <v>10000</v>
      </c>
      <c r="H90" s="116"/>
      <c r="K90" s="13"/>
      <c r="L90" s="13"/>
    </row>
    <row r="91" spans="1:12" ht="20.100000000000001" customHeight="1" x14ac:dyDescent="0.25">
      <c r="A91" s="16"/>
      <c r="B91" s="161" t="s">
        <v>196</v>
      </c>
      <c r="C91" s="161"/>
      <c r="D91" s="161"/>
      <c r="E91" s="161"/>
      <c r="F91" s="161"/>
      <c r="G91" s="136"/>
    </row>
    <row r="92" spans="1:12" ht="22.5" customHeight="1" x14ac:dyDescent="0.25">
      <c r="A92" s="16"/>
      <c r="B92" s="117"/>
      <c r="C92" s="37"/>
      <c r="D92" s="37"/>
      <c r="E92" s="38"/>
      <c r="F92" s="118" t="s">
        <v>197</v>
      </c>
      <c r="G92" s="164" t="s">
        <v>198</v>
      </c>
      <c r="H92" s="119"/>
      <c r="I92" s="13"/>
    </row>
    <row r="93" spans="1:12" ht="20.100000000000001" customHeight="1" x14ac:dyDescent="0.25">
      <c r="A93" s="16"/>
      <c r="B93" s="120" t="s">
        <v>199</v>
      </c>
      <c r="C93" s="37"/>
      <c r="D93" s="38"/>
      <c r="E93" s="121">
        <v>43922</v>
      </c>
      <c r="F93" s="122">
        <v>1000000</v>
      </c>
      <c r="G93" s="165">
        <f>ROUND(F93*0.15,0)</f>
        <v>150000</v>
      </c>
      <c r="I93" s="13"/>
    </row>
    <row r="94" spans="1:12" ht="20.100000000000001" customHeight="1" x14ac:dyDescent="0.25">
      <c r="A94" s="16"/>
      <c r="B94" s="120" t="s">
        <v>200</v>
      </c>
      <c r="C94" s="37"/>
      <c r="D94" s="38"/>
      <c r="E94" s="121">
        <v>43992</v>
      </c>
      <c r="F94" s="122">
        <f>ROUND(F93*0.2,0)</f>
        <v>200000</v>
      </c>
      <c r="G94" s="165">
        <f>ROUND(G93*0.2,0)</f>
        <v>30000</v>
      </c>
      <c r="I94" s="13"/>
    </row>
    <row r="95" spans="1:12" ht="20.100000000000001" customHeight="1" x14ac:dyDescent="0.25">
      <c r="A95" s="16"/>
      <c r="B95" s="120" t="s">
        <v>201</v>
      </c>
      <c r="C95" s="37"/>
      <c r="D95" s="38"/>
      <c r="E95" s="121">
        <f>E94+183</f>
        <v>44175</v>
      </c>
      <c r="F95" s="122">
        <f>ROUND(F94*0.6,0)</f>
        <v>120000</v>
      </c>
      <c r="G95" s="165">
        <f>ROUND(G94*0.6,0)</f>
        <v>18000</v>
      </c>
      <c r="I95" s="13"/>
    </row>
    <row r="96" spans="1:12" ht="20.100000000000001" customHeight="1" x14ac:dyDescent="0.25">
      <c r="A96" s="16"/>
      <c r="B96" s="120" t="s">
        <v>202</v>
      </c>
      <c r="C96" s="37"/>
      <c r="D96" s="38"/>
      <c r="E96" s="121">
        <f>E94+40</f>
        <v>44032</v>
      </c>
      <c r="F96" s="122">
        <f>ROUND(F94*0.3,0)</f>
        <v>60000</v>
      </c>
      <c r="G96" s="165">
        <f>ROUND(G94*0.3,0)</f>
        <v>9000</v>
      </c>
      <c r="I96" s="13"/>
    </row>
    <row r="97" spans="1:9" ht="20.100000000000001" customHeight="1" x14ac:dyDescent="0.25">
      <c r="A97" s="16"/>
      <c r="B97" s="120" t="s">
        <v>203</v>
      </c>
      <c r="C97" s="37"/>
      <c r="D97" s="38"/>
      <c r="E97" s="121">
        <v>44286</v>
      </c>
      <c r="F97" s="86">
        <f>F93+F94+F95-F96</f>
        <v>1260000</v>
      </c>
      <c r="G97" s="152">
        <f>G93+G94+G95-G96</f>
        <v>189000</v>
      </c>
      <c r="H97" s="20"/>
      <c r="I97" s="13"/>
    </row>
    <row r="98" spans="1:9" ht="33" customHeight="1" x14ac:dyDescent="0.25">
      <c r="A98" s="16"/>
      <c r="B98" s="187" t="s">
        <v>204</v>
      </c>
      <c r="C98" s="187"/>
      <c r="D98" s="187"/>
      <c r="E98" s="187"/>
      <c r="F98" s="187"/>
      <c r="G98" s="188"/>
      <c r="H98" s="31"/>
    </row>
    <row r="99" spans="1:9" ht="18" customHeight="1" x14ac:dyDescent="0.25">
      <c r="A99" s="16"/>
      <c r="B99" s="225" t="s">
        <v>205</v>
      </c>
      <c r="C99" s="225"/>
      <c r="D99" s="225"/>
      <c r="E99" s="225"/>
      <c r="F99" s="225"/>
      <c r="G99" s="226"/>
      <c r="H99" s="123"/>
    </row>
    <row r="100" spans="1:9" ht="20.100000000000001" customHeight="1" x14ac:dyDescent="0.25">
      <c r="A100" s="16"/>
      <c r="B100" s="120" t="s">
        <v>206</v>
      </c>
      <c r="C100" s="38"/>
      <c r="D100" s="86"/>
      <c r="E100" s="120" t="s">
        <v>158</v>
      </c>
      <c r="F100" s="38"/>
      <c r="G100" s="152">
        <f>+G60</f>
        <v>2277000</v>
      </c>
      <c r="H100" s="20"/>
    </row>
    <row r="101" spans="1:9" ht="20.100000000000001" customHeight="1" x14ac:dyDescent="0.25">
      <c r="A101" s="16"/>
      <c r="B101" s="49" t="str">
        <f>+E19</f>
        <v xml:space="preserve">Siddharth </v>
      </c>
      <c r="C101" s="38"/>
      <c r="D101" s="86">
        <v>5000000</v>
      </c>
      <c r="E101" s="120" t="s">
        <v>207</v>
      </c>
      <c r="F101" s="38"/>
      <c r="G101" s="152">
        <f>ROUND((D101+D102+D103)*0.25,0)</f>
        <v>3125000</v>
      </c>
      <c r="H101" s="20"/>
      <c r="I101" s="13"/>
    </row>
    <row r="102" spans="1:9" ht="20.100000000000001" customHeight="1" x14ac:dyDescent="0.25">
      <c r="A102" s="16"/>
      <c r="B102" s="49" t="str">
        <f>+F19</f>
        <v xml:space="preserve">Amreeta </v>
      </c>
      <c r="C102" s="38"/>
      <c r="D102" s="86">
        <f>D101/E21*F21</f>
        <v>5000000</v>
      </c>
      <c r="E102" s="120" t="s">
        <v>208</v>
      </c>
      <c r="F102" s="38"/>
      <c r="G102" s="152">
        <f>G101*2</f>
        <v>6250000</v>
      </c>
      <c r="H102" s="20"/>
      <c r="I102" s="13"/>
    </row>
    <row r="103" spans="1:9" ht="20.100000000000001" customHeight="1" x14ac:dyDescent="0.25">
      <c r="A103" s="16"/>
      <c r="B103" s="49" t="str">
        <f>+G19</f>
        <v xml:space="preserve">Iddham </v>
      </c>
      <c r="C103" s="38"/>
      <c r="D103" s="124">
        <f>D101/E21*G21</f>
        <v>2500000</v>
      </c>
      <c r="E103" s="120" t="s">
        <v>209</v>
      </c>
      <c r="F103" s="38"/>
      <c r="G103" s="152">
        <f>F97+G97</f>
        <v>1449000</v>
      </c>
      <c r="H103" s="20"/>
      <c r="I103" s="13"/>
    </row>
    <row r="104" spans="1:9" ht="20.100000000000001" customHeight="1" x14ac:dyDescent="0.25">
      <c r="A104" s="16"/>
      <c r="B104" s="6" t="s">
        <v>210</v>
      </c>
      <c r="C104" s="7"/>
      <c r="D104" s="216">
        <f>D107-D101-D102-D103</f>
        <v>4267875</v>
      </c>
      <c r="E104" s="125" t="s">
        <v>211</v>
      </c>
      <c r="F104" s="38"/>
      <c r="G104" s="152">
        <f>(D101+D102)/5</f>
        <v>2000000</v>
      </c>
      <c r="H104" s="20"/>
      <c r="I104" s="13"/>
    </row>
    <row r="105" spans="1:9" ht="20.100000000000001" customHeight="1" x14ac:dyDescent="0.25">
      <c r="A105" s="16"/>
      <c r="B105" s="126" t="s">
        <v>212</v>
      </c>
      <c r="C105" s="17"/>
      <c r="D105" s="217"/>
      <c r="E105" s="125" t="s">
        <v>213</v>
      </c>
      <c r="F105" s="38"/>
      <c r="G105" s="152">
        <f>G101/2+25000</f>
        <v>1587500</v>
      </c>
      <c r="H105" s="20"/>
      <c r="I105" s="13"/>
    </row>
    <row r="106" spans="1:9" ht="20.100000000000001" customHeight="1" x14ac:dyDescent="0.25">
      <c r="A106" s="16"/>
      <c r="B106" s="80"/>
      <c r="C106" s="17"/>
      <c r="D106" s="106"/>
      <c r="E106" s="120" t="s">
        <v>214</v>
      </c>
      <c r="F106" s="38"/>
      <c r="G106" s="152">
        <f>ROUND(G105*0.05,0)</f>
        <v>79375</v>
      </c>
      <c r="H106" s="20"/>
    </row>
    <row r="107" spans="1:9" ht="20.100000000000001" customHeight="1" thickBot="1" x14ac:dyDescent="0.3">
      <c r="A107" s="16"/>
      <c r="B107" s="112"/>
      <c r="C107" s="113"/>
      <c r="D107" s="127">
        <f>+G107</f>
        <v>16767875</v>
      </c>
      <c r="E107" s="54"/>
      <c r="F107" s="128"/>
      <c r="G107" s="166">
        <f>SUM(G100:G106)</f>
        <v>16767875</v>
      </c>
      <c r="H107" s="115"/>
      <c r="I107" s="13"/>
    </row>
    <row r="108" spans="1:9" ht="20.100000000000001" customHeight="1" thickTop="1" thickBot="1" x14ac:dyDescent="0.3">
      <c r="A108" s="167"/>
      <c r="B108" s="218"/>
      <c r="C108" s="218"/>
      <c r="D108" s="218"/>
      <c r="E108" s="218"/>
      <c r="F108" s="218"/>
      <c r="G108" s="219"/>
    </row>
    <row r="109" spans="1:9" ht="20.100000000000001" customHeight="1" x14ac:dyDescent="0.25">
      <c r="B109" s="11"/>
    </row>
    <row r="110" spans="1:9" ht="20.100000000000001" customHeight="1" x14ac:dyDescent="0.25">
      <c r="B110" s="11"/>
    </row>
    <row r="114" spans="2:2" ht="20.100000000000001" customHeight="1" x14ac:dyDescent="0.25">
      <c r="B114" s="1" t="s">
        <v>215</v>
      </c>
    </row>
    <row r="121" spans="2:2" ht="20.100000000000001" customHeight="1" x14ac:dyDescent="0.25">
      <c r="B121" s="11"/>
    </row>
  </sheetData>
  <mergeCells count="33">
    <mergeCell ref="D104:D105"/>
    <mergeCell ref="B108:G108"/>
    <mergeCell ref="B56:G56"/>
    <mergeCell ref="B80:C80"/>
    <mergeCell ref="B87:F87"/>
    <mergeCell ref="B90:F90"/>
    <mergeCell ref="B98:G98"/>
    <mergeCell ref="B99:G99"/>
    <mergeCell ref="B55:G55"/>
    <mergeCell ref="B29:C29"/>
    <mergeCell ref="D29:E29"/>
    <mergeCell ref="F29:G29"/>
    <mergeCell ref="B30:C30"/>
    <mergeCell ref="D30:E30"/>
    <mergeCell ref="F30:G30"/>
    <mergeCell ref="D31:E31"/>
    <mergeCell ref="F31:G31"/>
    <mergeCell ref="B36:G36"/>
    <mergeCell ref="B48:F48"/>
    <mergeCell ref="B54:G54"/>
    <mergeCell ref="E16:G16"/>
    <mergeCell ref="J22:K22"/>
    <mergeCell ref="D27:E27"/>
    <mergeCell ref="F27:G27"/>
    <mergeCell ref="B28:C28"/>
    <mergeCell ref="D28:E28"/>
    <mergeCell ref="F28:G28"/>
    <mergeCell ref="E7:G7"/>
    <mergeCell ref="A1:G1"/>
    <mergeCell ref="A2:G2"/>
    <mergeCell ref="A3:G3"/>
    <mergeCell ref="I3:M3"/>
    <mergeCell ref="B4:G4"/>
  </mergeCells>
  <printOptions horizontalCentered="1"/>
  <pageMargins left="0.19685039370078741" right="0.19685039370078741" top="0.19685039370078741" bottom="0.19685039370078741" header="0" footer="0"/>
  <pageSetup paperSize="9" scale="94" fitToHeight="0" orientation="portrait" r:id="rId1"/>
  <headerFooter>
    <oddFooter>Page &amp;P of &amp;N</oddFooter>
  </headerFooter>
  <rowBreaks count="3" manualBreakCount="3">
    <brk id="40" min="1" max="6" man="1"/>
    <brk id="84" min="1" max="6" man="1"/>
    <brk id="11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ITR-503</vt:lpstr>
      <vt:lpstr>'ITR-503'!Print_Area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Doctor</dc:creator>
  <cp:lastModifiedBy>Tax Doctor</cp:lastModifiedBy>
  <cp:lastPrinted>2022-03-09T03:17:36Z</cp:lastPrinted>
  <dcterms:created xsi:type="dcterms:W3CDTF">2022-03-09T03:04:57Z</dcterms:created>
  <dcterms:modified xsi:type="dcterms:W3CDTF">2022-04-14T13:21:46Z</dcterms:modified>
</cp:coreProperties>
</file>