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C:\Users\Tax Doctor\Desktop\"/>
    </mc:Choice>
  </mc:AlternateContent>
  <xr:revisionPtr revIDLastSave="0" documentId="8_{EB8985AB-1536-45DD-B03B-CA5AAA7D90D3}" xr6:coauthVersionLast="47" xr6:coauthVersionMax="47" xr10:uidLastSave="{00000000-0000-0000-0000-000000000000}"/>
  <bookViews>
    <workbookView xWindow="-108" yWindow="-108" windowWidth="23256" windowHeight="12720" xr2:uid="{F5BA1880-18A4-414E-960D-74D9B036B158}"/>
  </bookViews>
  <sheets>
    <sheet name="8" sheetId="1" r:id="rId1"/>
  </sheets>
  <externalReferences>
    <externalReference r:id="rId2"/>
  </externalReferences>
  <definedNames>
    <definedName name="newbasicPB4">[1]Sheet1!$T$4:$T$37</definedName>
    <definedName name="oldbasicPB4">[1]Sheet1!$S$4:$S$37</definedName>
    <definedName name="_xlnm.Print_Area" localSheetId="0">'8'!$J$1:$N$67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D171" i="1" l="1"/>
  <c r="D167" i="1"/>
  <c r="D173" i="1" s="1"/>
  <c r="H128" i="1"/>
  <c r="H129" i="1" s="1"/>
  <c r="E128" i="1"/>
  <c r="E120" i="1"/>
  <c r="B120" i="1"/>
  <c r="C110" i="1"/>
  <c r="E118" i="1" s="1"/>
  <c r="C107" i="1"/>
  <c r="C106" i="1"/>
  <c r="G103" i="1"/>
  <c r="E101" i="1"/>
  <c r="E114" i="1" s="1"/>
  <c r="E127" i="1" s="1"/>
  <c r="L63" i="1"/>
  <c r="H63" i="1"/>
  <c r="N54" i="1"/>
  <c r="M46" i="1"/>
  <c r="M45" i="1"/>
  <c r="H43" i="1"/>
  <c r="F41" i="1"/>
  <c r="F40" i="1"/>
  <c r="D40" i="1"/>
  <c r="F39" i="1"/>
  <c r="D39" i="1"/>
  <c r="G34" i="1"/>
  <c r="G33" i="1"/>
  <c r="G32" i="1"/>
  <c r="H35" i="1" s="1"/>
  <c r="H76" i="1" s="1"/>
  <c r="G30" i="1"/>
  <c r="G28" i="1"/>
  <c r="F26" i="1"/>
  <c r="F25" i="1"/>
  <c r="G26" i="1" s="1"/>
  <c r="G23" i="1"/>
  <c r="G22" i="1"/>
  <c r="G24" i="1" s="1"/>
  <c r="G27" i="1" s="1"/>
  <c r="G29" i="1" s="1"/>
  <c r="H30" i="1" s="1"/>
  <c r="G18" i="1"/>
  <c r="F16" i="1"/>
  <c r="G14" i="1"/>
  <c r="F15" i="1" s="1"/>
  <c r="G16" i="1" s="1"/>
  <c r="G13" i="1"/>
  <c r="E13" i="1"/>
  <c r="G12" i="1"/>
  <c r="M6" i="1"/>
  <c r="G8" i="1" s="1"/>
  <c r="L6" i="1"/>
  <c r="G6" i="1"/>
  <c r="G5" i="1"/>
  <c r="G4" i="1"/>
  <c r="G7" i="1" s="1"/>
  <c r="I2" i="1"/>
  <c r="E47" i="1" l="1"/>
  <c r="G47" i="1" s="1"/>
  <c r="H75" i="1"/>
  <c r="H132" i="1"/>
  <c r="K129" i="1"/>
  <c r="K130" i="1" s="1"/>
  <c r="K131" i="1" s="1"/>
  <c r="H73" i="1"/>
  <c r="G9" i="1"/>
  <c r="H10" i="1" s="1"/>
  <c r="G17" i="1"/>
  <c r="H18" i="1" s="1"/>
  <c r="H74" i="1" s="1"/>
  <c r="A43" i="1"/>
  <c r="A55" i="1" s="1"/>
  <c r="H77" i="1" l="1"/>
  <c r="H79" i="1" s="1"/>
  <c r="L62" i="1"/>
  <c r="M63" i="1" s="1"/>
  <c r="M64" i="1" s="1"/>
  <c r="H37" i="1"/>
  <c r="E44" i="1" s="1"/>
  <c r="H44" i="1" s="1"/>
  <c r="G49" i="1" l="1"/>
  <c r="E46" i="1"/>
  <c r="M65" i="1"/>
  <c r="M66" i="1" s="1"/>
  <c r="H80" i="1"/>
  <c r="H81" i="1" s="1"/>
  <c r="H82" i="1" l="1"/>
  <c r="H83" i="1" s="1"/>
  <c r="M67" i="1"/>
  <c r="M47" i="1"/>
  <c r="M48" i="1" s="1"/>
  <c r="G46" i="1"/>
  <c r="G48" i="1" s="1"/>
  <c r="H49" i="1" s="1"/>
  <c r="H50" i="1" l="1"/>
  <c r="H51" i="1" s="1"/>
  <c r="H52" i="1" l="1"/>
  <c r="H53" i="1" s="1"/>
  <c r="E100" i="1" l="1"/>
  <c r="E113" i="1" l="1"/>
  <c r="E102" i="1"/>
  <c r="E103" i="1" s="1"/>
  <c r="E106" i="1" l="1"/>
  <c r="F106" i="1" s="1"/>
  <c r="G106" i="1" s="1"/>
  <c r="H106" i="1" s="1"/>
  <c r="E108" i="1"/>
  <c r="F108" i="1" s="1"/>
  <c r="G108" i="1" s="1"/>
  <c r="H108" i="1" s="1"/>
  <c r="E105" i="1"/>
  <c r="F105" i="1" s="1"/>
  <c r="G105" i="1" s="1"/>
  <c r="H105" i="1" s="1"/>
  <c r="E107" i="1"/>
  <c r="F107" i="1" s="1"/>
  <c r="G107" i="1" s="1"/>
  <c r="H107" i="1" s="1"/>
  <c r="E126" i="1"/>
  <c r="E132" i="1" s="1"/>
  <c r="E133" i="1" s="1"/>
  <c r="F133" i="1" s="1"/>
  <c r="E115" i="1"/>
  <c r="E119" i="1" l="1"/>
  <c r="E117" i="1"/>
  <c r="H110" i="1"/>
  <c r="K106" i="1" l="1"/>
  <c r="E123" i="1"/>
  <c r="F123" i="1" s="1"/>
  <c r="H116" i="1" s="1"/>
  <c r="H117" i="1" s="1"/>
  <c r="H118" i="1" s="1"/>
  <c r="H119" i="1" s="1"/>
  <c r="F119" i="1"/>
  <c r="H113" i="1" s="1"/>
  <c r="H114" i="1" l="1"/>
  <c r="H115" i="1" s="1"/>
  <c r="K119" i="1"/>
  <c r="K120" i="1" s="1"/>
  <c r="K121" i="1" s="1"/>
  <c r="K108" i="1"/>
  <c r="K107" i="1"/>
  <c r="E121" i="1"/>
  <c r="H122" i="1" l="1"/>
  <c r="H98" i="1" s="1"/>
  <c r="H54" i="1" s="1"/>
  <c r="H56" i="1" s="1"/>
  <c r="H64" i="1" s="1"/>
  <c r="B64"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RATHORE</author>
  </authors>
  <commentList>
    <comment ref="I2" authorId="0" shapeId="0" xr:uid="{215C7FCA-DEE0-4C49-AB76-37968BC6A216}">
      <text>
        <r>
          <rPr>
            <b/>
            <sz val="8"/>
            <color indexed="81"/>
            <rFont val="Tahoma"/>
            <family val="2"/>
          </rPr>
          <t>RATHORE:</t>
        </r>
        <r>
          <rPr>
            <sz val="8"/>
            <color indexed="81"/>
            <rFont val="Tahoma"/>
            <family val="2"/>
          </rPr>
          <t xml:space="preserve">
</t>
        </r>
      </text>
    </comment>
    <comment ref="C58" authorId="0" shapeId="0" xr:uid="{D0C6C0E7-6C3D-4867-A2B7-26AA2953F5F6}">
      <text>
        <r>
          <rPr>
            <b/>
            <sz val="8"/>
            <color indexed="81"/>
            <rFont val="Tahoma"/>
            <family val="2"/>
          </rPr>
          <t>RATHORE:</t>
        </r>
        <r>
          <rPr>
            <sz val="8"/>
            <color indexed="81"/>
            <rFont val="Tahoma"/>
            <family val="2"/>
          </rPr>
          <t xml:space="preserve">
</t>
        </r>
      </text>
    </comment>
    <comment ref="C59" authorId="0" shapeId="0" xr:uid="{3184E88C-C1E3-4506-89C0-503A8B8B34CF}">
      <text>
        <r>
          <rPr>
            <b/>
            <sz val="8"/>
            <color indexed="81"/>
            <rFont val="Tahoma"/>
            <family val="2"/>
          </rPr>
          <t>RATHORE:</t>
        </r>
        <r>
          <rPr>
            <sz val="8"/>
            <color indexed="81"/>
            <rFont val="Tahoma"/>
            <family val="2"/>
          </rPr>
          <t xml:space="preserve">
</t>
        </r>
      </text>
    </comment>
    <comment ref="B64" authorId="0" shapeId="0" xr:uid="{F8ACD370-735A-4539-98DF-49D0CA159C87}">
      <text>
        <r>
          <rPr>
            <b/>
            <sz val="8"/>
            <color indexed="81"/>
            <rFont val="Tahoma"/>
            <family val="2"/>
          </rPr>
          <t>RATHORE:</t>
        </r>
        <r>
          <rPr>
            <sz val="8"/>
            <color indexed="81"/>
            <rFont val="Tahoma"/>
            <family val="2"/>
          </rPr>
          <t xml:space="preserve">
</t>
        </r>
      </text>
    </comment>
  </commentList>
</comments>
</file>

<file path=xl/sharedStrings.xml><?xml version="1.0" encoding="utf-8"?>
<sst xmlns="http://schemas.openxmlformats.org/spreadsheetml/2006/main" count="374" uniqueCount="344">
  <si>
    <t>Dr. V.K. Singhania's Book</t>
  </si>
  <si>
    <t>A S S E S S M E N T   Y E A R  :  2 0 2 1 - 2  2</t>
  </si>
  <si>
    <t>Case-8  (Salary; Let-Out, Rent Arrears;  Plot Sold, LTCL B/f:  3 Types of Gifts)</t>
  </si>
  <si>
    <t>Filing Date</t>
  </si>
  <si>
    <t>65th Edition:  August-2021</t>
  </si>
  <si>
    <t>Case Study-8</t>
  </si>
  <si>
    <t>Pgs  536-538</t>
  </si>
  <si>
    <t>Ram Kumar Yadav</t>
  </si>
  <si>
    <t>Exempted</t>
  </si>
  <si>
    <r>
      <t xml:space="preserve">SALARIES </t>
    </r>
    <r>
      <rPr>
        <sz val="10"/>
        <color theme="1"/>
        <rFont val="Arial"/>
        <family val="2"/>
      </rPr>
      <t>U/S 15-17</t>
    </r>
  </si>
  <si>
    <t>Amount (Rs.)</t>
  </si>
  <si>
    <t xml:space="preserve">Salary </t>
  </si>
  <si>
    <t xml:space="preserve">Due date </t>
  </si>
  <si>
    <t>Sec 17(1)</t>
  </si>
  <si>
    <t>Basic Salary and Allowances</t>
  </si>
  <si>
    <t>10(14)(i)</t>
  </si>
  <si>
    <t xml:space="preserve">Travelling  Allowance </t>
  </si>
  <si>
    <t>Sec 17(2)</t>
  </si>
  <si>
    <t xml:space="preserve">Value of Perquisites </t>
  </si>
  <si>
    <t>10(13A)</t>
  </si>
  <si>
    <t>HRA</t>
  </si>
  <si>
    <t>System Date</t>
  </si>
  <si>
    <t>Sec 17(3)</t>
  </si>
  <si>
    <t xml:space="preserve">Profit in lieu of Salary </t>
  </si>
  <si>
    <t xml:space="preserve">Gross Salary </t>
  </si>
  <si>
    <t xml:space="preserve">Perquisite (Gas provided)  </t>
  </si>
  <si>
    <t>Late Fees</t>
  </si>
  <si>
    <t>Sec 10</t>
  </si>
  <si>
    <t>Less Exempt Allowances (40000 + 30000 + 8000)</t>
  </si>
  <si>
    <t xml:space="preserve">Perquisite (Interest Free Loan)  </t>
  </si>
  <si>
    <t>Jan-Mar 22</t>
  </si>
  <si>
    <t xml:space="preserve">Net Salary </t>
  </si>
  <si>
    <t xml:space="preserve">10(10B) </t>
  </si>
  <si>
    <t xml:space="preserve">Profit in Lieu of Salary </t>
  </si>
  <si>
    <t>Sec 16(ia)</t>
  </si>
  <si>
    <t>Less Standard  Deduction</t>
  </si>
  <si>
    <t>TDS</t>
  </si>
  <si>
    <r>
      <t xml:space="preserve">HOUSE PROPERTY </t>
    </r>
    <r>
      <rPr>
        <sz val="10"/>
        <color theme="1"/>
        <rFont val="Arial"/>
        <family val="2"/>
      </rPr>
      <t>U/S 22-27</t>
    </r>
  </si>
  <si>
    <t>Rent Received</t>
  </si>
  <si>
    <t>Annual Value  (Let-Out)</t>
  </si>
  <si>
    <t>(900000 * 100 / 90)</t>
  </si>
  <si>
    <t>Municipal Taxes</t>
  </si>
  <si>
    <t xml:space="preserve">Less  Municipal Taxes Paid </t>
  </si>
  <si>
    <t>Paid by Assessee</t>
  </si>
  <si>
    <t>Outstanding</t>
  </si>
  <si>
    <t>Sec 24</t>
  </si>
  <si>
    <t xml:space="preserve">LESS: Deductions </t>
  </si>
  <si>
    <t>Std Ded 30%</t>
  </si>
  <si>
    <t>Paid by Tenant</t>
  </si>
  <si>
    <t xml:space="preserve">Intt on H  Loan </t>
  </si>
  <si>
    <t xml:space="preserve">Intt on Loan for renewal </t>
  </si>
  <si>
    <t xml:space="preserve">Arrears of Rent (FY 2010-11 </t>
  </si>
  <si>
    <t xml:space="preserve">Arrears of Rent Received </t>
  </si>
  <si>
    <t xml:space="preserve">40000 Less 30% </t>
  </si>
  <si>
    <r>
      <t xml:space="preserve">CAPITAL GAINS </t>
    </r>
    <r>
      <rPr>
        <sz val="10"/>
        <color theme="1"/>
        <rFont val="Arial"/>
        <family val="2"/>
      </rPr>
      <t>U/S 45 - 55</t>
    </r>
  </si>
  <si>
    <t>SHORT TERM CAPITAL GAIN</t>
  </si>
  <si>
    <t>Sale of Plot  on 15-05-20</t>
  </si>
  <si>
    <t>LONG TERM CAPITAL GAIN</t>
  </si>
  <si>
    <t>Stamp Duty Value</t>
  </si>
  <si>
    <t xml:space="preserve">Sold Plot </t>
  </si>
  <si>
    <t>Stamp Duty Value More Than 110% of Sale Proceeds</t>
  </si>
  <si>
    <t xml:space="preserve">Brokeage Paid </t>
  </si>
  <si>
    <t xml:space="preserve">Less Brokerage </t>
  </si>
  <si>
    <t>Acq Cost (FY 2002-03)</t>
  </si>
  <si>
    <t>FMV as on 01-04-2001</t>
  </si>
  <si>
    <t xml:space="preserve">Before Buying </t>
  </si>
  <si>
    <t>FY 2002-03</t>
  </si>
  <si>
    <t xml:space="preserve">Less Indexed Acq Cost </t>
  </si>
  <si>
    <t>70000* 301 / 105</t>
  </si>
  <si>
    <t>FMV as on 01-04-1981</t>
  </si>
  <si>
    <t>FY 2008-09</t>
  </si>
  <si>
    <t xml:space="preserve">Less Indexed Improvement  </t>
  </si>
  <si>
    <t>22000* 301 / 137</t>
  </si>
  <si>
    <t>Exp for Boundry Wall  FY 2008-09</t>
  </si>
  <si>
    <t>Investment in REC Bonds on 01-06-20</t>
  </si>
  <si>
    <r>
      <t>Less Exemption u/s 54EC</t>
    </r>
    <r>
      <rPr>
        <sz val="10"/>
        <color rgb="FFC00000"/>
        <rFont val="Arial"/>
        <family val="2"/>
      </rPr>
      <t xml:space="preserve"> </t>
    </r>
    <r>
      <rPr>
        <sz val="8"/>
        <color rgb="FFC00000"/>
        <rFont val="Arial"/>
        <family val="2"/>
      </rPr>
      <t>REC Bonds</t>
    </r>
  </si>
  <si>
    <t>LT Cap Loss B/f AY 2013-14 (Filed on 01-06-13)</t>
  </si>
  <si>
    <t>Purchaser's Details</t>
  </si>
  <si>
    <t>Less LT Capital Loss B/f AY 2013-14</t>
  </si>
  <si>
    <t>Shiv Sundar Saran _PAN-AANPS2270G_7/108/10 Krishan Strret, N Delhi-110070</t>
  </si>
  <si>
    <r>
      <t xml:space="preserve">OTHER SOURCES </t>
    </r>
    <r>
      <rPr>
        <sz val="10"/>
        <color theme="1"/>
        <rFont val="Arial"/>
        <family val="2"/>
      </rPr>
      <t>U/S 56-59</t>
    </r>
  </si>
  <si>
    <t xml:space="preserve">Saving Bank Interest </t>
  </si>
  <si>
    <t>PNB-FDR Interest  (Net of TDS@ 10%)</t>
  </si>
  <si>
    <t xml:space="preserve">PNB- FDR Interest </t>
  </si>
  <si>
    <t>360000 * 100 / 90</t>
  </si>
  <si>
    <t xml:space="preserve">Gifts Received </t>
  </si>
  <si>
    <t xml:space="preserve">Gift from Non-Relative (No Consideration) </t>
  </si>
  <si>
    <t>d(iv)</t>
  </si>
  <si>
    <t>In Kind from a Friend</t>
  </si>
  <si>
    <t xml:space="preserve">Gold Bangles </t>
  </si>
  <si>
    <t xml:space="preserve">Taxable </t>
  </si>
  <si>
    <t xml:space="preserve">Gift from Non-Relative (Inadequate Consideration) </t>
  </si>
  <si>
    <t>d(v)</t>
  </si>
  <si>
    <r>
      <t xml:space="preserve">Bought Gold Ring </t>
    </r>
    <r>
      <rPr>
        <i/>
        <sz val="9"/>
        <color theme="1"/>
        <rFont val="Arial"/>
        <family val="2"/>
      </rPr>
      <t>(MV 200000 - Paid 130000)</t>
    </r>
  </si>
  <si>
    <t>d(i)</t>
  </si>
  <si>
    <t>Cash Gift from another Friend</t>
  </si>
  <si>
    <t xml:space="preserve">No Tax </t>
  </si>
  <si>
    <t>GROSS TOTAL INCOME</t>
  </si>
  <si>
    <t xml:space="preserve">LESS: DEDUCTIONS UNDER CHAPTER VI-A </t>
  </si>
  <si>
    <t xml:space="preserve">Sec  80C </t>
  </si>
  <si>
    <t>Recognised Prov Fund</t>
  </si>
  <si>
    <t>Max 150000</t>
  </si>
  <si>
    <t>Public Prov Fund</t>
  </si>
  <si>
    <t>NSCs Purchased (20-04-20)</t>
  </si>
  <si>
    <t>Investment in NSCs (20-04-20)</t>
  </si>
  <si>
    <r>
      <t xml:space="preserve">Sec  80CCD(1B) </t>
    </r>
    <r>
      <rPr>
        <sz val="9"/>
        <color theme="1"/>
        <rFont val="Arial"/>
        <family val="2"/>
      </rPr>
      <t xml:space="preserve">New Pension Scheme  </t>
    </r>
  </si>
  <si>
    <t xml:space="preserve">NPS </t>
  </si>
  <si>
    <t>Sec 80TTA</t>
  </si>
  <si>
    <t>SB Interest</t>
  </si>
  <si>
    <t xml:space="preserve">TOTAL  INCOME </t>
  </si>
  <si>
    <t xml:space="preserve">Income tax </t>
  </si>
  <si>
    <t xml:space="preserve">TAX ON TOTAL INCOME </t>
  </si>
  <si>
    <t xml:space="preserve">INCOME  </t>
  </si>
  <si>
    <t>RATE</t>
  </si>
  <si>
    <t>TAX</t>
  </si>
  <si>
    <t>250,000  to  500,000</t>
  </si>
  <si>
    <t>Rounded u/s 288A</t>
  </si>
  <si>
    <t>NORMAL INCOME</t>
  </si>
  <si>
    <t>500,000 to 1000,000</t>
  </si>
  <si>
    <t xml:space="preserve">LTCG </t>
  </si>
  <si>
    <t>SPECIAL INCOME</t>
  </si>
  <si>
    <t xml:space="preserve">      Above   1000,000</t>
  </si>
  <si>
    <t>Sec 87A</t>
  </si>
  <si>
    <r>
      <t xml:space="preserve">LESS : REBATE  </t>
    </r>
    <r>
      <rPr>
        <sz val="8"/>
        <color theme="1"/>
        <rFont val="Arial Narrow"/>
        <family val="2"/>
      </rPr>
      <t>(Rs. 12500, if Total Income upto Rs. 5 Lakhs)</t>
    </r>
  </si>
  <si>
    <t>Details of Assets &amp; Liabilities</t>
  </si>
  <si>
    <t xml:space="preserve">Acq Cost </t>
  </si>
  <si>
    <t>Mkt Value</t>
  </si>
  <si>
    <t>WT Return</t>
  </si>
  <si>
    <r>
      <t xml:space="preserve">ADD : SURCHARGE  </t>
    </r>
    <r>
      <rPr>
        <sz val="8"/>
        <color theme="1"/>
        <rFont val="Arial"/>
        <family val="2"/>
      </rPr>
      <t>(10 % / 15% / 25% / 37%)</t>
    </r>
  </si>
  <si>
    <t>AY 2016-17</t>
  </si>
  <si>
    <t xml:space="preserve">Resi House Property </t>
  </si>
  <si>
    <t xml:space="preserve">ADD : HEALTH &amp; EDUCATION CESS (4 % on Income Tax + Surcharge) </t>
  </si>
  <si>
    <t>Jewellery (1984-85)</t>
  </si>
  <si>
    <r>
      <t>TOTAL TAX PAYABLE</t>
    </r>
    <r>
      <rPr>
        <sz val="10"/>
        <color theme="1"/>
        <rFont val="Arial"/>
        <family val="2"/>
      </rPr>
      <t xml:space="preserve"> (including Surcharge &amp; Cesses) </t>
    </r>
  </si>
  <si>
    <t>Cash in Hand</t>
  </si>
  <si>
    <t xml:space="preserve">ADD : INTEREST U/S 234A, 234B &amp; 234C </t>
  </si>
  <si>
    <t>Interest till the date of making Video i.e 16/10/21</t>
  </si>
  <si>
    <t xml:space="preserve">Total </t>
  </si>
  <si>
    <t xml:space="preserve">ADD : Late Fees U/S 234F </t>
  </si>
  <si>
    <t>Rs. 5000 (Jan-Mar 2022)</t>
  </si>
  <si>
    <t>Gifts</t>
  </si>
  <si>
    <t>TOTAL TAX AND INTEREST PAYABLE</t>
  </si>
  <si>
    <t>Any Sum of Money (Cash_Cheque_Draft..)</t>
  </si>
  <si>
    <t xml:space="preserve">TAX PAID U/S 199 : </t>
  </si>
  <si>
    <t>d(ii)</t>
  </si>
  <si>
    <t>Immoveable Property w/o Consideration</t>
  </si>
  <si>
    <t xml:space="preserve">Advance Tax Paid  U/S 210 </t>
  </si>
  <si>
    <t>d(iii)</t>
  </si>
  <si>
    <t>Immoveable Property with Inadequate Consideration</t>
  </si>
  <si>
    <t>Self-Assessment Tax Paid  U/S 140A</t>
  </si>
  <si>
    <t>Moveable Properties w/o Consideration</t>
  </si>
  <si>
    <t xml:space="preserve">T. D. S.  U/S 192 </t>
  </si>
  <si>
    <t>Employer</t>
  </si>
  <si>
    <t>Moveable Properties with Inadequate Consideration</t>
  </si>
  <si>
    <t>T. D. S.  U/S 194-I</t>
  </si>
  <si>
    <t>Tenant</t>
  </si>
  <si>
    <t>TDS to be deducted  by the Employer</t>
  </si>
  <si>
    <t>T. D. S.  U/S 194A</t>
  </si>
  <si>
    <t>PNB</t>
  </si>
  <si>
    <t xml:space="preserve">Salary after Std Deduction </t>
  </si>
  <si>
    <t>Deds 80C, 80CCD (1B)</t>
  </si>
  <si>
    <t>Rounding Off u/s 288B</t>
  </si>
  <si>
    <t xml:space="preserve">Income Tax </t>
  </si>
  <si>
    <t xml:space="preserve">Tax Cals by Dr SB Rathore, Associate Professor of Commerce;  42 yrs Teaching Experience (Oct-77 to Dec-19) in Shyam Lal College (University of Delhi) </t>
  </si>
  <si>
    <t xml:space="preserve">Surcharge </t>
  </si>
  <si>
    <t>Website: www.taxclasses.in</t>
  </si>
  <si>
    <t xml:space="preserve">FaceBook: DrSB Rathore </t>
  </si>
  <si>
    <t xml:space="preserve">YouTube: Dr Rathore's tax Video Lectures (No Advertisements) </t>
  </si>
  <si>
    <t xml:space="preserve">HEC </t>
  </si>
  <si>
    <t>Transport Allowance</t>
  </si>
  <si>
    <t xml:space="preserve">Resi  to Office </t>
  </si>
  <si>
    <t xml:space="preserve">Sec 10(14) (ii) </t>
  </si>
  <si>
    <t>No Exemption @ 1600 pm</t>
  </si>
  <si>
    <r>
      <t xml:space="preserve">Surcharge 25%, </t>
    </r>
    <r>
      <rPr>
        <b/>
        <sz val="10"/>
        <color rgb="FF00B050"/>
        <rFont val="Arial"/>
        <family val="2"/>
      </rPr>
      <t>Rent Arrears</t>
    </r>
    <r>
      <rPr>
        <b/>
        <sz val="10"/>
        <color rgb="FFAA1695"/>
        <rFont val="Arial"/>
        <family val="2"/>
      </rPr>
      <t xml:space="preserve">, LTCL B/f, </t>
    </r>
    <r>
      <rPr>
        <b/>
        <sz val="10"/>
        <color theme="6" tint="-0.249977111117893"/>
        <rFont val="Arial"/>
        <family val="2"/>
      </rPr>
      <t>WT Return</t>
    </r>
  </si>
  <si>
    <t>Conveyance Allowance</t>
  </si>
  <si>
    <t xml:space="preserve">Local </t>
  </si>
  <si>
    <t xml:space="preserve">Sec 10(14) (i) </t>
  </si>
  <si>
    <t>Received</t>
  </si>
  <si>
    <t>Less Spent</t>
  </si>
  <si>
    <t xml:space="preserve">Diff Taxable </t>
  </si>
  <si>
    <t xml:space="preserve">41 yrs old </t>
  </si>
  <si>
    <t>Travelling Allowance</t>
  </si>
  <si>
    <t xml:space="preserve">Out of Station </t>
  </si>
  <si>
    <t xml:space="preserve">Vadodra - Resi / Working </t>
  </si>
  <si>
    <t>Director - Satish Traders Ltd</t>
  </si>
  <si>
    <t>New Tax Rates Regime</t>
  </si>
  <si>
    <t>2 Bank Accounts - SBI / PNB</t>
  </si>
  <si>
    <t>Salaries</t>
  </si>
  <si>
    <t xml:space="preserve">ITR Filed from Gujarat </t>
  </si>
  <si>
    <t>House Property</t>
  </si>
  <si>
    <t>Basic Salary @ 12 Laks p.m.</t>
  </si>
  <si>
    <t>Capital Gain</t>
  </si>
  <si>
    <t>TA-HRA-Gas-Intt Free Loan</t>
  </si>
  <si>
    <t>Other Sources</t>
  </si>
  <si>
    <t xml:space="preserve">Profit in Lieu of Salary-Compensation </t>
  </si>
  <si>
    <t>Total income</t>
  </si>
  <si>
    <t xml:space="preserve">Let out House in Mumbai </t>
  </si>
  <si>
    <t xml:space="preserve">Rent 9 Lakhs after TDS @ 10% </t>
  </si>
  <si>
    <t xml:space="preserve">M Taxes - Paid, Outstanding / Tenant </t>
  </si>
  <si>
    <t xml:space="preserve">Surcharge 25% </t>
  </si>
  <si>
    <t xml:space="preserve">Intt on Loan for Renewal </t>
  </si>
  <si>
    <t>Arrears of Rent (2010-11) Less 30%</t>
  </si>
  <si>
    <t>Sale of Plot (15-05-20)</t>
  </si>
  <si>
    <t>Total Liability</t>
  </si>
  <si>
    <t xml:space="preserve">Sold 8400,000 (Stamp Duty 9700,000) </t>
  </si>
  <si>
    <t>110% of 84L</t>
  </si>
  <si>
    <t>Bought in FY 2002-03</t>
  </si>
  <si>
    <t>Boundary Wall in FY 2008-09</t>
  </si>
  <si>
    <t xml:space="preserve">   Upto             2,50,000</t>
  </si>
  <si>
    <t xml:space="preserve">Nil </t>
  </si>
  <si>
    <t>FMV 01-04-81 / 01-04-01</t>
  </si>
  <si>
    <t>2,50,001   to    5,00,000</t>
  </si>
  <si>
    <t>REC Bonds on 01-06-20</t>
  </si>
  <si>
    <t>5,00,001   to    7,50,000</t>
  </si>
  <si>
    <t>LTCL B/f AY 2013-14</t>
  </si>
  <si>
    <t>7,50,001   to  10,00,000</t>
  </si>
  <si>
    <t>10,00,001 to  12,50,000</t>
  </si>
  <si>
    <t>S B Interest</t>
  </si>
  <si>
    <t>12,50,001  to  15,00,000</t>
  </si>
  <si>
    <t xml:space="preserve">PNB-FDR Intt Net 360000 </t>
  </si>
  <si>
    <t xml:space="preserve">   Above         15,00,000</t>
  </si>
  <si>
    <t xml:space="preserve">Gift In Cash </t>
  </si>
  <si>
    <t>Cash</t>
  </si>
  <si>
    <t xml:space="preserve">No Change </t>
  </si>
  <si>
    <t>Part -B</t>
  </si>
  <si>
    <t>80C - 80GGC</t>
  </si>
  <si>
    <t xml:space="preserve">Gift In Kind (w/o consideration) </t>
  </si>
  <si>
    <t>Bangles</t>
  </si>
  <si>
    <t>Rebate u/s 87A (if TI upto  5 Lakhs)</t>
  </si>
  <si>
    <t>Part -C</t>
  </si>
  <si>
    <t>80H - 80RRB</t>
  </si>
  <si>
    <t>Gift In Kind (inadequate) Ring</t>
  </si>
  <si>
    <t>200000-130000</t>
  </si>
  <si>
    <t>25%  Surcharge   (TI 200 Lakhs - 500 Lakhs)</t>
  </si>
  <si>
    <t>Part- CA</t>
  </si>
  <si>
    <t>80TTA, 80TTB</t>
  </si>
  <si>
    <t>Deductions</t>
  </si>
  <si>
    <t xml:space="preserve">PF-PPF-NSCs-NPS </t>
  </si>
  <si>
    <t>Health &amp; Education Cess @ 4%</t>
  </si>
  <si>
    <t>Part-D</t>
  </si>
  <si>
    <t>80U</t>
  </si>
  <si>
    <t xml:space="preserve">TDS </t>
  </si>
  <si>
    <r>
      <t>Employer (</t>
    </r>
    <r>
      <rPr>
        <sz val="10"/>
        <color rgb="FFAA1695"/>
        <rFont val="Arial"/>
        <family val="2"/>
      </rPr>
      <t>4930,280</t>
    </r>
    <r>
      <rPr>
        <sz val="10"/>
        <color theme="1"/>
        <rFont val="Arial"/>
        <family val="2"/>
      </rPr>
      <t>) Tenant (</t>
    </r>
    <r>
      <rPr>
        <sz val="10"/>
        <color rgb="FFAA1695"/>
        <rFont val="Arial"/>
        <family val="2"/>
      </rPr>
      <t>100,000</t>
    </r>
    <r>
      <rPr>
        <sz val="10"/>
        <color theme="1"/>
        <rFont val="Arial"/>
        <family val="2"/>
      </rPr>
      <t xml:space="preserve">)  PNB (40000) </t>
    </r>
  </si>
  <si>
    <t>Advance Tax  26/09/20 (40000); 17/06/21 (150000)</t>
  </si>
  <si>
    <t xml:space="preserve">Calculation  of Interest under Sections 234A, 234B &amp; 234C </t>
  </si>
  <si>
    <t>Total Interest</t>
  </si>
  <si>
    <r>
      <t>Assets and Liability</t>
    </r>
    <r>
      <rPr>
        <sz val="10"/>
        <color rgb="FF0000FF"/>
        <rFont val="Arial"/>
        <family val="2"/>
      </rPr>
      <t xml:space="preserve"> </t>
    </r>
    <r>
      <rPr>
        <sz val="10"/>
        <color rgb="FFAA1695"/>
        <rFont val="Arial"/>
        <family val="2"/>
      </rPr>
      <t xml:space="preserve"> (Acq - MV - WT) </t>
    </r>
  </si>
  <si>
    <t>Section 234C: In case of Non-Sr Citizen: If  Amount Exceeds Rs. 10000</t>
  </si>
  <si>
    <t>Jewellery (FY 1984-85) 840,000 - 7990,000 - 7141,000</t>
  </si>
  <si>
    <t>Total Tax, Surcharge &amp; Cess</t>
  </si>
  <si>
    <t>Let Out House (700,000 - NA - 8500,000)</t>
  </si>
  <si>
    <t>Cash 38910</t>
  </si>
  <si>
    <t>Less TDS by the Employer, Bank</t>
  </si>
  <si>
    <t xml:space="preserve">Liability for Advance tax </t>
  </si>
  <si>
    <t>Deposit Date</t>
  </si>
  <si>
    <t xml:space="preserve">Tax Amount </t>
  </si>
  <si>
    <t>Last Date</t>
  </si>
  <si>
    <t xml:space="preserve">Amount </t>
  </si>
  <si>
    <t>Round Down by 100</t>
  </si>
  <si>
    <t xml:space="preserve">Shortfall </t>
  </si>
  <si>
    <t>Interest</t>
  </si>
  <si>
    <t xml:space="preserve">Month </t>
  </si>
  <si>
    <t>Interest u/s 234C</t>
  </si>
  <si>
    <t>Oct</t>
  </si>
  <si>
    <t xml:space="preserve">Nov </t>
  </si>
  <si>
    <t xml:space="preserve">Dec </t>
  </si>
  <si>
    <t>Section 234B:  If  Amount Exceeds Rs. 10000 (Less than 90 %.....)</t>
  </si>
  <si>
    <t xml:space="preserve"> Tax Liability after TDS</t>
  </si>
  <si>
    <t>Advance Tax   till 31-03-2021</t>
  </si>
  <si>
    <t>Interest u/s 234B</t>
  </si>
  <si>
    <t xml:space="preserve">Tax Liability after Advance Tax </t>
  </si>
  <si>
    <t xml:space="preserve">Self-Assessment Tax Paid </t>
  </si>
  <si>
    <t xml:space="preserve">Adjusted for  Intt u/s 234B &amp; 234C  </t>
  </si>
  <si>
    <t xml:space="preserve">Net Amt Paid </t>
  </si>
  <si>
    <t>Tax Liability after Self-Assessment Tax</t>
  </si>
  <si>
    <t>Section 234A:  If Amount Exceeds Rs. 100000</t>
  </si>
  <si>
    <t>Less Advance tax paid by 31-03-2021</t>
  </si>
  <si>
    <t>Interest u/s 234A</t>
  </si>
  <si>
    <t>Add Interest u/s 234C till 31-03-2021</t>
  </si>
  <si>
    <t>Add Interest u/s 234B till 30-06-2021</t>
  </si>
  <si>
    <t>Less Self-Assessment Tax on 04-07-21</t>
  </si>
  <si>
    <t xml:space="preserve">Sec 10(14) : Special Allowances prescribed as exempt </t>
  </si>
  <si>
    <t>Granted &amp; Incurred</t>
  </si>
  <si>
    <t>Sec 10(14)(i) : Exemption depend upon Actual Expenditure by the Employee</t>
  </si>
  <si>
    <t xml:space="preserve">Lower of (a) Allowance Amount or (b) Amount spent for specific purose </t>
  </si>
  <si>
    <r>
      <t>(</t>
    </r>
    <r>
      <rPr>
        <i/>
        <sz val="9"/>
        <color rgb="FF3E3E3E"/>
        <rFont val="Arial"/>
        <family val="2"/>
      </rPr>
      <t>a</t>
    </r>
    <r>
      <rPr>
        <sz val="9"/>
        <color rgb="FF3E3E3E"/>
        <rFont val="Arial"/>
        <family val="2"/>
      </rPr>
      <t>)</t>
    </r>
  </si>
  <si>
    <t>any allowance granted to meet the cost of travel on tour or on transfer;</t>
  </si>
  <si>
    <t>Travelling / Tour</t>
  </si>
  <si>
    <r>
      <t>(</t>
    </r>
    <r>
      <rPr>
        <i/>
        <sz val="9"/>
        <color rgb="FF3E3E3E"/>
        <rFont val="Arial"/>
        <family val="2"/>
      </rPr>
      <t>b</t>
    </r>
    <r>
      <rPr>
        <sz val="9"/>
        <color rgb="FF3E3E3E"/>
        <rFont val="Arial"/>
        <family val="2"/>
      </rPr>
      <t>)</t>
    </r>
  </si>
  <si>
    <t>any allowance, whether, granted on tour or for the period of journey in connection with transfer, to meet the ordinary daily charges incurred by an employee on account of absence from his normal place of duty;</t>
  </si>
  <si>
    <t>Conveyance</t>
  </si>
  <si>
    <r>
      <t>(</t>
    </r>
    <r>
      <rPr>
        <i/>
        <sz val="9"/>
        <color rgb="FF3E3E3E"/>
        <rFont val="Arial"/>
        <family val="2"/>
      </rPr>
      <t>c</t>
    </r>
    <r>
      <rPr>
        <sz val="9"/>
        <color rgb="FF3E3E3E"/>
        <rFont val="Arial"/>
        <family val="2"/>
      </rPr>
      <t>)</t>
    </r>
  </si>
  <si>
    <t>any allowance granted to meet the expenditure incurred on con-veyance in performance of duties of an office or employment of profit :</t>
  </si>
  <si>
    <t xml:space="preserve">Daily </t>
  </si>
  <si>
    <r>
      <t>(</t>
    </r>
    <r>
      <rPr>
        <i/>
        <sz val="9"/>
        <color rgb="FF3E3E3E"/>
        <rFont val="Arial"/>
        <family val="2"/>
      </rPr>
      <t>d</t>
    </r>
    <r>
      <rPr>
        <sz val="9"/>
        <color rgb="FF3E3E3E"/>
        <rFont val="Arial"/>
        <family val="2"/>
      </rPr>
      <t>)</t>
    </r>
  </si>
  <si>
    <t>any allowance granted to meet the expenditure incurred on a helper where such helper is engaged for the performance of the duties of an office or employment of profit;</t>
  </si>
  <si>
    <t>Helper</t>
  </si>
  <si>
    <r>
      <t>(</t>
    </r>
    <r>
      <rPr>
        <i/>
        <sz val="9"/>
        <color rgb="FF3E3E3E"/>
        <rFont val="Arial"/>
        <family val="2"/>
      </rPr>
      <t>e</t>
    </r>
    <r>
      <rPr>
        <sz val="9"/>
        <color rgb="FF3E3E3E"/>
        <rFont val="Arial"/>
        <family val="2"/>
      </rPr>
      <t>)</t>
    </r>
  </si>
  <si>
    <t>any allowance granted for encouraging the academic, research and training pursuits in educational and research institutions;</t>
  </si>
  <si>
    <t>Research</t>
  </si>
  <si>
    <r>
      <t>(</t>
    </r>
    <r>
      <rPr>
        <i/>
        <sz val="9"/>
        <color rgb="FF3E3E3E"/>
        <rFont val="Arial"/>
        <family val="2"/>
      </rPr>
      <t>f</t>
    </r>
    <r>
      <rPr>
        <sz val="9"/>
        <color rgb="FF3E3E3E"/>
        <rFont val="Arial"/>
        <family val="2"/>
      </rPr>
      <t>)</t>
    </r>
  </si>
  <si>
    <t>any allowance granted to meet the expenditure incurred on the purchase or maintenance of uniform for wear during the performance of the duties of an office or employment of profit.</t>
  </si>
  <si>
    <t>Uniform</t>
  </si>
  <si>
    <r>
      <t>Explanation</t>
    </r>
    <r>
      <rPr>
        <sz val="8"/>
        <color rgb="FF3E3E3E"/>
        <rFont val="Times New Roman"/>
        <family val="1"/>
      </rPr>
      <t> : For the purpose of clause (</t>
    </r>
    <r>
      <rPr>
        <i/>
        <sz val="8"/>
        <color rgb="FF3E3E3E"/>
        <rFont val="Times New Roman"/>
        <family val="1"/>
      </rPr>
      <t>a</t>
    </r>
    <r>
      <rPr>
        <sz val="8"/>
        <color rgb="FF3E3E3E"/>
        <rFont val="Times New Roman"/>
        <family val="1"/>
      </rPr>
      <t>), “allowance granted to meet the cost of travel on transfer” includes any sum paid in connection with transfer, packing and transportation of personal effects on such transfer.</t>
    </r>
  </si>
  <si>
    <t>for Clause © Provided that free conveyance is not provided by the employer;</t>
  </si>
  <si>
    <t xml:space="preserve">Granted </t>
  </si>
  <si>
    <t>Sec 10(14)(ii) : Exemption not dependent upon Actual Expenditure</t>
  </si>
  <si>
    <t>Lower of (a) Allowance Amount or (b) Amount specified in Rule 2BB</t>
  </si>
  <si>
    <t>Children Education  Allow</t>
  </si>
  <si>
    <t>Rs. 100 per month per child subject to max of  2 Children</t>
  </si>
  <si>
    <t>Hostel Expenditure Allow</t>
  </si>
  <si>
    <t>Rs. 300 per month per child subject to max of  2 Children</t>
  </si>
  <si>
    <t>Border Area Allowance</t>
  </si>
  <si>
    <t>Range Rs. 200 per month to Rs. 1300 per month</t>
  </si>
  <si>
    <t>Tribal Area/Scheduled Area</t>
  </si>
  <si>
    <t>Rs. 200 per month</t>
  </si>
  <si>
    <t xml:space="preserve">High Altitude Allowance </t>
  </si>
  <si>
    <t xml:space="preserve">Rs. 1060 per month (Altitude 9000 to 15000 feet); 1600 pm (Above 15000 Feet) </t>
  </si>
  <si>
    <t xml:space="preserve">Island Duty Allowance </t>
  </si>
  <si>
    <t xml:space="preserve">Rs. 3250 per month  (Andaman &amp; Nocobar;  Lakshadweep) </t>
  </si>
  <si>
    <t xml:space="preserve">Highly Active Field </t>
  </si>
  <si>
    <t xml:space="preserve">Rs. 4200 per month </t>
  </si>
  <si>
    <t>Transport Allow (Sec 80U)</t>
  </si>
  <si>
    <t xml:space="preserve">Rs. 3200 per month </t>
  </si>
  <si>
    <t xml:space="preserve">Sec 17 (1) </t>
  </si>
  <si>
    <t>Less Allowances u/s 10</t>
  </si>
  <si>
    <t xml:space="preserve">Less Deds u/s 16 </t>
  </si>
  <si>
    <t xml:space="preserve">Basic Salary </t>
  </si>
  <si>
    <t xml:space="preserve">Sec 10(5) Leave Travel </t>
  </si>
  <si>
    <t xml:space="preserve">Std Ded  u/s 16 (ia) </t>
  </si>
  <si>
    <t>Dearness Allowance</t>
  </si>
  <si>
    <t>Sec 10(13A) HRA</t>
  </si>
  <si>
    <t>Employment Tax</t>
  </si>
  <si>
    <t xml:space="preserve">Sec 10(14)(i) Conveyance </t>
  </si>
  <si>
    <t>House Rent Allowance</t>
  </si>
  <si>
    <t>Sec 10(14)(iI) CEA</t>
  </si>
  <si>
    <t>Leave Travel Allowance</t>
  </si>
  <si>
    <t>Children Edu Allowance</t>
  </si>
  <si>
    <t>Other Allowances</t>
  </si>
  <si>
    <t xml:space="preserve">Sec 17 (2) Perks </t>
  </si>
  <si>
    <t xml:space="preserve">Accommodation </t>
  </si>
  <si>
    <t xml:space="preserve">Car </t>
  </si>
  <si>
    <t>Others</t>
  </si>
  <si>
    <t xml:space="preserve">Sec 17 (3) Profit In lieu of Salary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</si>
</sst>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d\-mmm\-yy;@"/>
  </numFmts>
  <fonts count="81" x14ac:knownFonts="1">
    <font>
      <sz val="11"/>
      <color theme="1"/>
      <name val="Calibri"/>
      <family val="2"/>
      <scheme val="minor"/>
    </font>
    <font>
      <sz val="10"/>
      <name val="Arial"/>
      <family val="2"/>
    </font>
    <font>
      <b/>
      <sz val="8"/>
      <color rgb="FF2B0CE4"/>
      <name val="Arial"/>
      <family val="2"/>
    </font>
    <font>
      <sz val="11"/>
      <color theme="1"/>
      <name val="Arial"/>
      <family val="2"/>
    </font>
    <font>
      <sz val="10"/>
      <color rgb="FFC00000"/>
      <name val="Arial Narrow"/>
      <family val="2"/>
    </font>
    <font>
      <sz val="9"/>
      <color rgb="FF0000FF"/>
      <name val="Arial"/>
      <family val="2"/>
    </font>
    <font>
      <b/>
      <sz val="8"/>
      <color rgb="FFC00000"/>
      <name val="Arial"/>
      <family val="2"/>
    </font>
    <font>
      <b/>
      <sz val="9"/>
      <color theme="1"/>
      <name val="Arial"/>
      <family val="2"/>
    </font>
    <font>
      <sz val="8"/>
      <color theme="1"/>
      <name val="Arial"/>
      <family val="2"/>
    </font>
    <font>
      <sz val="10"/>
      <color rgb="FF0000FF"/>
      <name val="Arial"/>
      <family val="2"/>
    </font>
    <font>
      <sz val="9"/>
      <color rgb="FFC00000"/>
      <name val="Arial"/>
      <family val="2"/>
    </font>
    <font>
      <b/>
      <sz val="8"/>
      <color rgb="FF0000FF"/>
      <name val="Arial"/>
      <family val="2"/>
    </font>
    <font>
      <sz val="10"/>
      <color theme="1"/>
      <name val="Arial"/>
      <family val="2"/>
    </font>
    <font>
      <b/>
      <u/>
      <sz val="10"/>
      <color theme="1"/>
      <name val="Arial"/>
      <family val="2"/>
    </font>
    <font>
      <b/>
      <sz val="8"/>
      <color theme="1"/>
      <name val="Arial"/>
      <family val="2"/>
    </font>
    <font>
      <sz val="9"/>
      <color theme="1"/>
      <name val="Arial"/>
      <family val="2"/>
    </font>
    <font>
      <b/>
      <sz val="10"/>
      <color theme="1"/>
      <name val="Arial"/>
      <family val="2"/>
    </font>
    <font>
      <sz val="8"/>
      <color theme="1"/>
      <name val="Arial Narrow"/>
      <family val="2"/>
    </font>
    <font>
      <b/>
      <sz val="10"/>
      <color rgb="FF0000FF"/>
      <name val="Arial"/>
      <family val="2"/>
    </font>
    <font>
      <i/>
      <sz val="10"/>
      <color theme="1"/>
      <name val="Arial"/>
      <family val="2"/>
    </font>
    <font>
      <b/>
      <sz val="8"/>
      <name val="Arial"/>
      <family val="2"/>
    </font>
    <font>
      <sz val="9"/>
      <color rgb="FF7030A0"/>
      <name val="Arial"/>
      <family val="2"/>
    </font>
    <font>
      <i/>
      <sz val="9"/>
      <color rgb="FFC00000"/>
      <name val="Arial"/>
      <family val="2"/>
    </font>
    <font>
      <sz val="10"/>
      <color theme="9" tint="-0.499984740745262"/>
      <name val="Arial"/>
      <family val="2"/>
    </font>
    <font>
      <i/>
      <sz val="10"/>
      <color rgb="FFC00000"/>
      <name val="Arial"/>
      <family val="2"/>
    </font>
    <font>
      <b/>
      <sz val="9"/>
      <color rgb="FFC00000"/>
      <name val="Arial"/>
      <family val="2"/>
    </font>
    <font>
      <sz val="9"/>
      <name val="Arial"/>
      <family val="2"/>
    </font>
    <font>
      <i/>
      <sz val="8"/>
      <color rgb="FF0000FF"/>
      <name val="Arial"/>
      <family val="2"/>
    </font>
    <font>
      <i/>
      <sz val="10"/>
      <color rgb="FF0000FF"/>
      <name val="Arial"/>
      <family val="2"/>
    </font>
    <font>
      <u/>
      <sz val="9"/>
      <color theme="1"/>
      <name val="Arial"/>
      <family val="2"/>
    </font>
    <font>
      <sz val="10"/>
      <color rgb="FFC00000"/>
      <name val="Arial"/>
      <family val="2"/>
    </font>
    <font>
      <i/>
      <sz val="8"/>
      <color rgb="FFFF0000"/>
      <name val="Arial"/>
      <family val="2"/>
    </font>
    <font>
      <sz val="8"/>
      <color rgb="FFC00000"/>
      <name val="Arial"/>
      <family val="2"/>
    </font>
    <font>
      <i/>
      <sz val="9"/>
      <color rgb="FF0000FF"/>
      <name val="Arial"/>
      <family val="2"/>
    </font>
    <font>
      <i/>
      <sz val="9"/>
      <color theme="1"/>
      <name val="Arial"/>
      <family val="2"/>
    </font>
    <font>
      <u/>
      <sz val="10"/>
      <color theme="1"/>
      <name val="Arial"/>
      <family val="2"/>
    </font>
    <font>
      <i/>
      <u/>
      <sz val="10"/>
      <color theme="1"/>
      <name val="Arial"/>
      <family val="2"/>
    </font>
    <font>
      <sz val="10"/>
      <color theme="3" tint="-0.249977111117893"/>
      <name val="Arial"/>
      <family val="2"/>
    </font>
    <font>
      <sz val="8"/>
      <color rgb="FF0000FF"/>
      <name val="Arial"/>
      <family val="2"/>
    </font>
    <font>
      <b/>
      <sz val="9"/>
      <color rgb="FF0000FF"/>
      <name val="Arial"/>
      <family val="2"/>
    </font>
    <font>
      <sz val="11"/>
      <color rgb="FF515656"/>
      <name val="Arial"/>
      <family val="2"/>
    </font>
    <font>
      <i/>
      <sz val="8"/>
      <color theme="1"/>
      <name val="Arial"/>
      <family val="2"/>
    </font>
    <font>
      <b/>
      <sz val="10"/>
      <color rgb="FFC00000"/>
      <name val="Arial Narrow"/>
      <family val="2"/>
    </font>
    <font>
      <sz val="10"/>
      <color theme="1"/>
      <name val="Arial Narrow"/>
      <family val="2"/>
    </font>
    <font>
      <sz val="9"/>
      <color rgb="FF00B0F0"/>
      <name val="Arial"/>
      <family val="2"/>
    </font>
    <font>
      <sz val="9"/>
      <color theme="1"/>
      <name val="Arial Narrow"/>
      <family val="2"/>
    </font>
    <font>
      <b/>
      <sz val="9"/>
      <color theme="7" tint="-0.249977111117893"/>
      <name val="Arial"/>
      <family val="2"/>
    </font>
    <font>
      <sz val="8"/>
      <color rgb="FF2B0CE4"/>
      <name val="Arial Narrow"/>
      <family val="2"/>
    </font>
    <font>
      <sz val="8"/>
      <name val="Arial"/>
      <family val="2"/>
    </font>
    <font>
      <sz val="9"/>
      <color theme="9" tint="-0.249977111117893"/>
      <name val="Arial"/>
      <family val="2"/>
    </font>
    <font>
      <sz val="8"/>
      <name val="Arial Narrow"/>
      <family val="2"/>
    </font>
    <font>
      <sz val="8"/>
      <color theme="5" tint="-0.249977111117893"/>
      <name val="Arial Narrow"/>
      <family val="2"/>
    </font>
    <font>
      <sz val="8"/>
      <color rgb="FF7030A0"/>
      <name val="Arial Narrow"/>
      <family val="2"/>
    </font>
    <font>
      <b/>
      <sz val="10"/>
      <color rgb="FFAA1695"/>
      <name val="Arial"/>
      <family val="2"/>
    </font>
    <font>
      <b/>
      <sz val="10"/>
      <color rgb="FF00B050"/>
      <name val="Arial"/>
      <family val="2"/>
    </font>
    <font>
      <b/>
      <sz val="10"/>
      <color theme="6" tint="-0.249977111117893"/>
      <name val="Arial"/>
      <family val="2"/>
    </font>
    <font>
      <sz val="10"/>
      <color theme="9" tint="-0.249977111117893"/>
      <name val="Arial"/>
      <family val="2"/>
    </font>
    <font>
      <sz val="10"/>
      <color theme="8" tint="-0.249977111117893"/>
      <name val="Arial"/>
      <family val="2"/>
    </font>
    <font>
      <i/>
      <sz val="10"/>
      <color rgb="FFAA1695"/>
      <name val="Arial"/>
      <family val="2"/>
    </font>
    <font>
      <b/>
      <sz val="10"/>
      <color rgb="FFC00000"/>
      <name val="Arial"/>
      <family val="2"/>
    </font>
    <font>
      <b/>
      <sz val="10"/>
      <color theme="4" tint="-0.249977111117893"/>
      <name val="Arial"/>
      <family val="2"/>
    </font>
    <font>
      <sz val="10"/>
      <color rgb="FFAA1695"/>
      <name val="Arial"/>
      <family val="2"/>
    </font>
    <font>
      <b/>
      <sz val="10"/>
      <color indexed="12"/>
      <name val="Arial"/>
      <family val="2"/>
    </font>
    <font>
      <b/>
      <sz val="10"/>
      <name val="Arial"/>
      <family val="2"/>
    </font>
    <font>
      <b/>
      <sz val="9"/>
      <color theme="9" tint="-0.249977111117893"/>
      <name val="Arial"/>
      <family val="2"/>
    </font>
    <font>
      <sz val="10"/>
      <color indexed="12"/>
      <name val="Arial"/>
      <family val="2"/>
    </font>
    <font>
      <sz val="10"/>
      <color rgb="FFFF0000"/>
      <name val="Arial"/>
      <family val="2"/>
    </font>
    <font>
      <i/>
      <sz val="10"/>
      <name val="Arial"/>
      <family val="2"/>
    </font>
    <font>
      <sz val="10"/>
      <color rgb="FF00B050"/>
      <name val="Arial"/>
      <family val="2"/>
    </font>
    <font>
      <b/>
      <sz val="9"/>
      <color theme="5" tint="-0.249977111117893"/>
      <name val="Arial"/>
      <family val="2"/>
    </font>
    <font>
      <b/>
      <sz val="9"/>
      <color rgb="FFAA1695"/>
      <name val="Arial"/>
      <family val="2"/>
    </font>
    <font>
      <sz val="9"/>
      <color rgb="FF3E3E3E"/>
      <name val="Arial"/>
      <family val="2"/>
    </font>
    <font>
      <i/>
      <sz val="9"/>
      <color rgb="FF3E3E3E"/>
      <name val="Arial"/>
      <family val="2"/>
    </font>
    <font>
      <sz val="9"/>
      <color rgb="FF3E3E3E"/>
      <name val="Times New Roman"/>
      <family val="1"/>
    </font>
    <font>
      <i/>
      <sz val="8"/>
      <color rgb="FF3E3E3E"/>
      <name val="Times New Roman"/>
      <family val="1"/>
    </font>
    <font>
      <sz val="8"/>
      <color rgb="FF3E3E3E"/>
      <name val="Times New Roman"/>
      <family val="1"/>
    </font>
    <font>
      <b/>
      <sz val="10"/>
      <color theme="5" tint="-0.249977111117893"/>
      <name val="Arial"/>
      <family val="2"/>
    </font>
    <font>
      <sz val="12"/>
      <color theme="1"/>
      <name val="Arial"/>
      <family val="2"/>
    </font>
    <font>
      <sz val="11"/>
      <name val="Arial"/>
      <family val="2"/>
    </font>
    <font>
      <b/>
      <sz val="8"/>
      <color indexed="81"/>
      <name val="Tahoma"/>
      <family val="2"/>
    </font>
    <font>
      <sz val="8"/>
      <color indexed="81"/>
      <name val="Tahoma"/>
      <family val="2"/>
    </font>
  </fonts>
  <fills count="11">
    <fill>
      <patternFill patternType="none"/>
    </fill>
    <fill>
      <patternFill patternType="gray125"/>
    </fill>
    <fill>
      <patternFill patternType="solid">
        <fgColor theme="0" tint="-4.9989318521683403E-2"/>
        <bgColor indexed="64"/>
      </patternFill>
    </fill>
    <fill>
      <patternFill patternType="solid">
        <fgColor indexed="42"/>
        <bgColor indexed="64"/>
      </patternFill>
    </fill>
    <fill>
      <patternFill patternType="solid">
        <fgColor rgb="FFFFFF00"/>
        <bgColor indexed="64"/>
      </patternFill>
    </fill>
    <fill>
      <patternFill patternType="solid">
        <fgColor theme="4" tint="0.79998168889431442"/>
        <bgColor indexed="64"/>
      </patternFill>
    </fill>
    <fill>
      <patternFill patternType="solid">
        <fgColor indexed="41"/>
        <bgColor indexed="64"/>
      </patternFill>
    </fill>
    <fill>
      <patternFill patternType="solid">
        <fgColor theme="9" tint="0.79998168889431442"/>
        <bgColor indexed="64"/>
      </patternFill>
    </fill>
    <fill>
      <patternFill patternType="solid">
        <fgColor theme="0"/>
        <bgColor indexed="64"/>
      </patternFill>
    </fill>
    <fill>
      <patternFill patternType="solid">
        <fgColor theme="2"/>
        <bgColor indexed="64"/>
      </patternFill>
    </fill>
    <fill>
      <patternFill patternType="solid">
        <fgColor theme="5" tint="0.79998168889431442"/>
        <bgColor indexed="64"/>
      </patternFill>
    </fill>
  </fills>
  <borders count="2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bottom style="thin">
        <color indexed="64"/>
      </bottom>
      <diagonal/>
    </border>
    <border>
      <left/>
      <right/>
      <top style="thin">
        <color indexed="64"/>
      </top>
      <bottom style="double">
        <color indexed="64"/>
      </bottom>
      <diagonal/>
    </border>
    <border>
      <left style="medium">
        <color indexed="64"/>
      </left>
      <right style="medium">
        <color indexed="64"/>
      </right>
      <top/>
      <bottom style="medium">
        <color indexed="64"/>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3">
    <xf numFmtId="0" fontId="0" fillId="0" borderId="0"/>
    <xf numFmtId="9" fontId="1" fillId="0" borderId="0" applyFont="0" applyFill="0" applyBorder="0" applyAlignment="0" applyProtection="0"/>
    <xf numFmtId="0" fontId="1" fillId="0" borderId="0"/>
  </cellStyleXfs>
  <cellXfs count="313">
    <xf numFmtId="0" fontId="0" fillId="0" borderId="0" xfId="0"/>
    <xf numFmtId="0" fontId="2" fillId="0" borderId="1" xfId="2" applyFont="1" applyBorder="1" applyAlignment="1">
      <alignment horizontal="center" shrinkToFit="1"/>
    </xf>
    <xf numFmtId="0" fontId="2" fillId="0" borderId="2" xfId="2" applyFont="1" applyBorder="1" applyAlignment="1">
      <alignment horizontal="center" shrinkToFit="1"/>
    </xf>
    <xf numFmtId="0" fontId="3" fillId="0" borderId="2" xfId="2" applyFont="1" applyBorder="1" applyAlignment="1">
      <alignment horizontal="center"/>
    </xf>
    <xf numFmtId="0" fontId="3" fillId="0" borderId="3" xfId="2" applyFont="1" applyBorder="1" applyAlignment="1">
      <alignment horizontal="center"/>
    </xf>
    <xf numFmtId="0" fontId="4" fillId="0" borderId="4" xfId="2" applyFont="1" applyBorder="1" applyAlignment="1">
      <alignment horizontal="center"/>
    </xf>
    <xf numFmtId="0" fontId="4" fillId="0" borderId="0" xfId="2" applyFont="1" applyAlignment="1">
      <alignment horizontal="center"/>
    </xf>
    <xf numFmtId="0" fontId="4" fillId="0" borderId="5" xfId="2" applyFont="1" applyBorder="1" applyAlignment="1">
      <alignment horizontal="center"/>
    </xf>
    <xf numFmtId="0" fontId="5" fillId="0" borderId="6" xfId="2" applyFont="1" applyBorder="1" applyAlignment="1">
      <alignment horizontal="center"/>
    </xf>
    <xf numFmtId="0" fontId="3" fillId="0" borderId="0" xfId="2" applyFont="1"/>
    <xf numFmtId="0" fontId="6" fillId="0" borderId="7" xfId="2" applyFont="1" applyBorder="1" applyAlignment="1">
      <alignment horizontal="center" shrinkToFit="1"/>
    </xf>
    <xf numFmtId="0" fontId="6" fillId="0" borderId="8" xfId="2" applyFont="1" applyBorder="1" applyAlignment="1">
      <alignment horizontal="center" shrinkToFit="1"/>
    </xf>
    <xf numFmtId="0" fontId="7" fillId="0" borderId="8" xfId="2" applyFont="1" applyBorder="1" applyAlignment="1">
      <alignment horizontal="center"/>
    </xf>
    <xf numFmtId="0" fontId="8" fillId="0" borderId="8" xfId="2" applyFont="1" applyBorder="1" applyAlignment="1">
      <alignment horizontal="center"/>
    </xf>
    <xf numFmtId="0" fontId="9" fillId="0" borderId="8" xfId="2" applyFont="1" applyBorder="1" applyAlignment="1">
      <alignment horizontal="center"/>
    </xf>
    <xf numFmtId="15" fontId="10" fillId="0" borderId="8" xfId="2" applyNumberFormat="1" applyFont="1" applyBorder="1" applyAlignment="1">
      <alignment horizontal="center"/>
    </xf>
    <xf numFmtId="1" fontId="11" fillId="2" borderId="9" xfId="2" applyNumberFormat="1" applyFont="1" applyFill="1" applyBorder="1" applyAlignment="1">
      <alignment horizontal="center" shrinkToFit="1"/>
    </xf>
    <xf numFmtId="0" fontId="12" fillId="0" borderId="0" xfId="2" applyFont="1" applyAlignment="1">
      <alignment horizontal="center"/>
    </xf>
    <xf numFmtId="0" fontId="12" fillId="0" borderId="0" xfId="2" applyFont="1"/>
    <xf numFmtId="15" fontId="5" fillId="0" borderId="10" xfId="2" applyNumberFormat="1" applyFont="1" applyBorder="1" applyAlignment="1">
      <alignment horizontal="center"/>
    </xf>
    <xf numFmtId="1" fontId="8" fillId="0" borderId="4" xfId="2" applyNumberFormat="1" applyFont="1" applyBorder="1" applyAlignment="1">
      <alignment shrinkToFit="1"/>
    </xf>
    <xf numFmtId="0" fontId="13" fillId="0" borderId="0" xfId="2" applyFont="1"/>
    <xf numFmtId="0" fontId="12" fillId="0" borderId="11" xfId="2" applyFont="1" applyBorder="1"/>
    <xf numFmtId="0" fontId="14" fillId="0" borderId="0" xfId="2" applyFont="1" applyAlignment="1">
      <alignment horizontal="center"/>
    </xf>
    <xf numFmtId="0" fontId="14" fillId="0" borderId="5" xfId="2" applyFont="1" applyBorder="1" applyAlignment="1">
      <alignment horizontal="center"/>
    </xf>
    <xf numFmtId="0" fontId="10" fillId="0" borderId="10" xfId="2" applyFont="1" applyBorder="1" applyAlignment="1">
      <alignment horizontal="center"/>
    </xf>
    <xf numFmtId="0" fontId="8" fillId="0" borderId="4" xfId="2" applyFont="1" applyBorder="1" applyAlignment="1">
      <alignment shrinkToFit="1"/>
    </xf>
    <xf numFmtId="0" fontId="8" fillId="0" borderId="0" xfId="2" applyFont="1"/>
    <xf numFmtId="0" fontId="15" fillId="0" borderId="0" xfId="2" applyFont="1" applyAlignment="1">
      <alignment horizontal="left"/>
    </xf>
    <xf numFmtId="1" fontId="12" fillId="3" borderId="11" xfId="2" applyNumberFormat="1" applyFont="1" applyFill="1" applyBorder="1"/>
    <xf numFmtId="1" fontId="16" fillId="0" borderId="0" xfId="2" applyNumberFormat="1" applyFont="1"/>
    <xf numFmtId="1" fontId="16" fillId="0" borderId="5" xfId="2" applyNumberFormat="1" applyFont="1" applyBorder="1"/>
    <xf numFmtId="0" fontId="17" fillId="0" borderId="0" xfId="2" applyFont="1"/>
    <xf numFmtId="15" fontId="10" fillId="0" borderId="10" xfId="2" applyNumberFormat="1" applyFont="1" applyBorder="1" applyAlignment="1">
      <alignment horizontal="center"/>
    </xf>
    <xf numFmtId="0" fontId="8" fillId="0" borderId="10" xfId="2" applyFont="1" applyBorder="1"/>
    <xf numFmtId="1" fontId="12" fillId="3" borderId="12" xfId="2" applyNumberFormat="1" applyFont="1" applyFill="1" applyBorder="1"/>
    <xf numFmtId="0" fontId="12" fillId="0" borderId="0" xfId="2" applyFont="1" applyAlignment="1">
      <alignment horizontal="left" indent="1"/>
    </xf>
    <xf numFmtId="0" fontId="18" fillId="0" borderId="13" xfId="2" applyFont="1" applyBorder="1" applyAlignment="1">
      <alignment horizontal="right" vertical="center"/>
    </xf>
    <xf numFmtId="15" fontId="15" fillId="0" borderId="14" xfId="2" applyNumberFormat="1" applyFont="1" applyBorder="1" applyAlignment="1">
      <alignment horizontal="center"/>
    </xf>
    <xf numFmtId="0" fontId="19" fillId="0" borderId="0" xfId="2" applyFont="1" applyAlignment="1">
      <alignment horizontal="right"/>
    </xf>
    <xf numFmtId="1" fontId="12" fillId="0" borderId="15" xfId="2" applyNumberFormat="1" applyFont="1" applyBorder="1"/>
    <xf numFmtId="0" fontId="20" fillId="4" borderId="6" xfId="2" applyFont="1" applyFill="1" applyBorder="1" applyAlignment="1">
      <alignment horizontal="center"/>
    </xf>
    <xf numFmtId="17" fontId="21" fillId="0" borderId="10" xfId="2" applyNumberFormat="1" applyFont="1" applyBorder="1" applyAlignment="1">
      <alignment horizontal="center"/>
    </xf>
    <xf numFmtId="1" fontId="12" fillId="0" borderId="11" xfId="2" applyNumberFormat="1" applyFont="1" applyBorder="1"/>
    <xf numFmtId="0" fontId="21" fillId="0" borderId="14" xfId="2" applyFont="1" applyBorder="1" applyAlignment="1">
      <alignment horizontal="center"/>
    </xf>
    <xf numFmtId="0" fontId="15" fillId="0" borderId="0" xfId="2" applyFont="1"/>
    <xf numFmtId="0" fontId="22" fillId="0" borderId="0" xfId="2" applyFont="1" applyAlignment="1">
      <alignment horizontal="center"/>
    </xf>
    <xf numFmtId="0" fontId="7" fillId="0" borderId="0" xfId="2" applyFont="1"/>
    <xf numFmtId="0" fontId="23" fillId="5" borderId="0" xfId="2" applyFont="1" applyFill="1"/>
    <xf numFmtId="0" fontId="24" fillId="5" borderId="0" xfId="2" applyFont="1" applyFill="1" applyAlignment="1">
      <alignment horizontal="center" vertical="top"/>
    </xf>
    <xf numFmtId="0" fontId="25" fillId="0" borderId="0" xfId="2" applyFont="1" applyAlignment="1">
      <alignment horizontal="center"/>
    </xf>
    <xf numFmtId="0" fontId="26" fillId="0" borderId="0" xfId="2" applyFont="1" applyAlignment="1">
      <alignment horizontal="left"/>
    </xf>
    <xf numFmtId="0" fontId="27" fillId="0" borderId="0" xfId="2" applyFont="1" applyAlignment="1">
      <alignment horizontal="left"/>
    </xf>
    <xf numFmtId="0" fontId="12" fillId="6" borderId="0" xfId="2" applyFont="1" applyFill="1" applyAlignment="1">
      <alignment horizontal="right"/>
    </xf>
    <xf numFmtId="1" fontId="16" fillId="0" borderId="16" xfId="2" applyNumberFormat="1" applyFont="1" applyBorder="1"/>
    <xf numFmtId="0" fontId="12" fillId="5" borderId="0" xfId="2" applyFont="1" applyFill="1"/>
    <xf numFmtId="0" fontId="26" fillId="0" borderId="0" xfId="2" applyFont="1"/>
    <xf numFmtId="0" fontId="12" fillId="6" borderId="12" xfId="2" applyFont="1" applyFill="1" applyBorder="1"/>
    <xf numFmtId="0" fontId="23" fillId="5" borderId="0" xfId="2" applyFont="1" applyFill="1" applyAlignment="1">
      <alignment horizontal="left" indent="1"/>
    </xf>
    <xf numFmtId="1" fontId="12" fillId="0" borderId="0" xfId="2" applyNumberFormat="1" applyFont="1" applyAlignment="1">
      <alignment horizontal="right"/>
    </xf>
    <xf numFmtId="0" fontId="8" fillId="0" borderId="0" xfId="2" applyFont="1" applyAlignment="1">
      <alignment horizontal="center"/>
    </xf>
    <xf numFmtId="0" fontId="12" fillId="6" borderId="17" xfId="2" applyFont="1" applyFill="1" applyBorder="1"/>
    <xf numFmtId="0" fontId="12" fillId="0" borderId="12" xfId="2" applyFont="1" applyBorder="1"/>
    <xf numFmtId="0" fontId="12" fillId="6" borderId="12" xfId="2" applyFont="1" applyFill="1" applyBorder="1" applyAlignment="1">
      <alignment horizontal="right"/>
    </xf>
    <xf numFmtId="0" fontId="5" fillId="0" borderId="0" xfId="2" applyFont="1"/>
    <xf numFmtId="0" fontId="28" fillId="0" borderId="0" xfId="2" applyFont="1"/>
    <xf numFmtId="0" fontId="12" fillId="7" borderId="0" xfId="2" applyFont="1" applyFill="1"/>
    <xf numFmtId="0" fontId="29" fillId="0" borderId="0" xfId="2" applyFont="1"/>
    <xf numFmtId="0" fontId="30" fillId="7" borderId="0" xfId="2" applyFont="1" applyFill="1"/>
    <xf numFmtId="14" fontId="5" fillId="0" borderId="0" xfId="2" applyNumberFormat="1" applyFont="1" applyAlignment="1">
      <alignment horizontal="center"/>
    </xf>
    <xf numFmtId="0" fontId="31" fillId="0" borderId="0" xfId="2" applyFont="1"/>
    <xf numFmtId="0" fontId="16" fillId="7" borderId="0" xfId="2" applyFont="1" applyFill="1"/>
    <xf numFmtId="15" fontId="5" fillId="0" borderId="0" xfId="2" applyNumberFormat="1" applyFont="1" applyAlignment="1">
      <alignment horizontal="center"/>
    </xf>
    <xf numFmtId="0" fontId="19" fillId="7" borderId="0" xfId="2" applyFont="1" applyFill="1" applyAlignment="1">
      <alignment horizontal="left" indent="2"/>
    </xf>
    <xf numFmtId="0" fontId="6" fillId="0" borderId="0" xfId="2" applyFont="1"/>
    <xf numFmtId="0" fontId="5" fillId="0" borderId="0" xfId="2" applyFont="1" applyAlignment="1">
      <alignment horizontal="center"/>
    </xf>
    <xf numFmtId="0" fontId="15" fillId="0" borderId="0" xfId="2" applyFont="1" applyAlignment="1">
      <alignment horizontal="center"/>
    </xf>
    <xf numFmtId="0" fontId="9" fillId="0" borderId="0" xfId="2" applyFont="1"/>
    <xf numFmtId="0" fontId="15" fillId="0" borderId="0" xfId="2" applyFont="1" applyAlignment="1">
      <alignment horizontal="left" indent="1"/>
    </xf>
    <xf numFmtId="0" fontId="12" fillId="0" borderId="17" xfId="2" applyFont="1" applyBorder="1"/>
    <xf numFmtId="0" fontId="19" fillId="0" borderId="0" xfId="2" applyFont="1"/>
    <xf numFmtId="0" fontId="15" fillId="7" borderId="0" xfId="2" applyFont="1" applyFill="1"/>
    <xf numFmtId="0" fontId="10" fillId="7" borderId="0" xfId="2" applyFont="1" applyFill="1"/>
    <xf numFmtId="0" fontId="5" fillId="7" borderId="0" xfId="2" applyFont="1" applyFill="1"/>
    <xf numFmtId="0" fontId="17" fillId="0" borderId="0" xfId="2" applyFont="1" applyAlignment="1">
      <alignment horizontal="center"/>
    </xf>
    <xf numFmtId="0" fontId="12" fillId="6" borderId="0" xfId="2" applyFont="1" applyFill="1"/>
    <xf numFmtId="1" fontId="12" fillId="6" borderId="0" xfId="2" applyNumberFormat="1" applyFont="1" applyFill="1"/>
    <xf numFmtId="0" fontId="19" fillId="0" borderId="0" xfId="2" applyFont="1" applyAlignment="1">
      <alignment horizontal="left" indent="1"/>
    </xf>
    <xf numFmtId="0" fontId="33" fillId="0" borderId="0" xfId="2" applyFont="1" applyAlignment="1">
      <alignment horizontal="center"/>
    </xf>
    <xf numFmtId="1" fontId="12" fillId="6" borderId="12" xfId="2" applyNumberFormat="1" applyFont="1" applyFill="1" applyBorder="1"/>
    <xf numFmtId="1" fontId="12" fillId="0" borderId="0" xfId="2" applyNumberFormat="1" applyFont="1"/>
    <xf numFmtId="1" fontId="16" fillId="0" borderId="18" xfId="2" applyNumberFormat="1" applyFont="1" applyBorder="1"/>
    <xf numFmtId="0" fontId="10" fillId="0" borderId="0" xfId="2" applyFont="1" applyAlignment="1">
      <alignment horizontal="center"/>
    </xf>
    <xf numFmtId="1" fontId="18" fillId="0" borderId="19" xfId="2" applyNumberFormat="1" applyFont="1" applyBorder="1"/>
    <xf numFmtId="1" fontId="18" fillId="0" borderId="5" xfId="2" applyNumberFormat="1" applyFont="1" applyBorder="1"/>
    <xf numFmtId="0" fontId="35" fillId="0" borderId="0" xfId="2" applyFont="1"/>
    <xf numFmtId="0" fontId="36" fillId="0" borderId="0" xfId="2" applyFont="1"/>
    <xf numFmtId="0" fontId="37" fillId="0" borderId="0" xfId="2" applyFont="1"/>
    <xf numFmtId="0" fontId="38" fillId="0" borderId="0" xfId="2" applyFont="1" applyAlignment="1">
      <alignment horizontal="center" vertical="top"/>
    </xf>
    <xf numFmtId="0" fontId="16" fillId="0" borderId="0" xfId="2" applyFont="1"/>
    <xf numFmtId="0" fontId="39" fillId="0" borderId="0" xfId="2" applyFont="1" applyAlignment="1">
      <alignment horizontal="center" vertical="top"/>
    </xf>
    <xf numFmtId="0" fontId="39" fillId="0" borderId="4" xfId="2" applyFont="1" applyBorder="1" applyAlignment="1">
      <alignment horizontal="center"/>
    </xf>
    <xf numFmtId="0" fontId="40" fillId="0" borderId="0" xfId="2" applyFont="1"/>
    <xf numFmtId="0" fontId="16" fillId="0" borderId="0" xfId="2" applyFont="1" applyAlignment="1">
      <alignment vertical="center"/>
    </xf>
    <xf numFmtId="1" fontId="17" fillId="0" borderId="0" xfId="2" applyNumberFormat="1" applyFont="1" applyAlignment="1">
      <alignment horizontal="center"/>
    </xf>
    <xf numFmtId="0" fontId="8" fillId="0" borderId="0" xfId="2" applyFont="1" applyAlignment="1">
      <alignment horizontal="right"/>
    </xf>
    <xf numFmtId="1" fontId="16" fillId="4" borderId="20" xfId="2" applyNumberFormat="1" applyFont="1" applyFill="1" applyBorder="1"/>
    <xf numFmtId="1" fontId="16" fillId="4" borderId="21" xfId="2" applyNumberFormat="1" applyFont="1" applyFill="1" applyBorder="1"/>
    <xf numFmtId="0" fontId="16" fillId="0" borderId="0" xfId="2" applyFont="1" applyAlignment="1">
      <alignment horizontal="left" indent="1"/>
    </xf>
    <xf numFmtId="0" fontId="7" fillId="0" borderId="0" xfId="2" applyFont="1" applyAlignment="1">
      <alignment horizontal="right"/>
    </xf>
    <xf numFmtId="0" fontId="7" fillId="0" borderId="0" xfId="2" applyFont="1" applyAlignment="1">
      <alignment horizontal="center"/>
    </xf>
    <xf numFmtId="0" fontId="15" fillId="0" borderId="16" xfId="2" applyFont="1" applyBorder="1"/>
    <xf numFmtId="0" fontId="15" fillId="0" borderId="5" xfId="2" applyFont="1" applyBorder="1"/>
    <xf numFmtId="9" fontId="12" fillId="0" borderId="0" xfId="2" applyNumberFormat="1" applyFont="1" applyAlignment="1">
      <alignment horizontal="center"/>
    </xf>
    <xf numFmtId="0" fontId="17" fillId="0" borderId="0" xfId="2" applyFont="1" applyAlignment="1">
      <alignment horizontal="right"/>
    </xf>
    <xf numFmtId="0" fontId="41" fillId="0" borderId="0" xfId="2" applyFont="1" applyAlignment="1">
      <alignment horizontal="right"/>
    </xf>
    <xf numFmtId="9" fontId="15" fillId="0" borderId="0" xfId="2" applyNumberFormat="1" applyFont="1" applyAlignment="1">
      <alignment horizontal="center"/>
    </xf>
    <xf numFmtId="0" fontId="12" fillId="0" borderId="16" xfId="2" applyFont="1" applyBorder="1"/>
    <xf numFmtId="0" fontId="12" fillId="0" borderId="5" xfId="2" applyFont="1" applyBorder="1"/>
    <xf numFmtId="0" fontId="12" fillId="0" borderId="0" xfId="2" applyFont="1" applyAlignment="1">
      <alignment horizontal="right"/>
    </xf>
    <xf numFmtId="1" fontId="16" fillId="0" borderId="16" xfId="2" applyNumberFormat="1" applyFont="1" applyBorder="1" applyAlignment="1">
      <alignment horizontal="right"/>
    </xf>
    <xf numFmtId="1" fontId="16" fillId="0" borderId="5" xfId="2" applyNumberFormat="1" applyFont="1" applyBorder="1" applyAlignment="1">
      <alignment horizontal="right"/>
    </xf>
    <xf numFmtId="0" fontId="16" fillId="8" borderId="13" xfId="2" applyFont="1" applyFill="1" applyBorder="1"/>
    <xf numFmtId="0" fontId="12" fillId="0" borderId="12" xfId="2" applyFont="1" applyBorder="1" applyAlignment="1">
      <alignment horizontal="right"/>
    </xf>
    <xf numFmtId="1" fontId="12" fillId="0" borderId="16" xfId="2" applyNumberFormat="1" applyFont="1" applyBorder="1" applyAlignment="1">
      <alignment horizontal="right"/>
    </xf>
    <xf numFmtId="1" fontId="12" fillId="0" borderId="5" xfId="2" applyNumberFormat="1" applyFont="1" applyBorder="1" applyAlignment="1">
      <alignment horizontal="right"/>
    </xf>
    <xf numFmtId="0" fontId="12" fillId="9" borderId="0" xfId="2" applyFont="1" applyFill="1" applyAlignment="1">
      <alignment horizontal="left"/>
    </xf>
    <xf numFmtId="0" fontId="15" fillId="9" borderId="0" xfId="2" applyFont="1" applyFill="1" applyAlignment="1">
      <alignment horizontal="center"/>
    </xf>
    <xf numFmtId="1" fontId="15" fillId="9" borderId="0" xfId="2" applyNumberFormat="1" applyFont="1" applyFill="1" applyAlignment="1">
      <alignment horizontal="left" indent="1"/>
    </xf>
    <xf numFmtId="9" fontId="9" fillId="0" borderId="0" xfId="2" applyNumberFormat="1" applyFont="1" applyAlignment="1">
      <alignment horizontal="center"/>
    </xf>
    <xf numFmtId="1" fontId="12" fillId="0" borderId="22" xfId="2" applyNumberFormat="1" applyFont="1" applyBorder="1" applyAlignment="1">
      <alignment horizontal="right"/>
    </xf>
    <xf numFmtId="1" fontId="12" fillId="0" borderId="18" xfId="2" applyNumberFormat="1" applyFont="1" applyBorder="1" applyAlignment="1">
      <alignment horizontal="right"/>
    </xf>
    <xf numFmtId="1" fontId="12" fillId="9" borderId="0" xfId="2" applyNumberFormat="1" applyFont="1" applyFill="1" applyAlignment="1">
      <alignment horizontal="right"/>
    </xf>
    <xf numFmtId="1" fontId="15" fillId="9" borderId="0" xfId="2" applyNumberFormat="1" applyFont="1" applyFill="1" applyAlignment="1">
      <alignment horizontal="right"/>
    </xf>
    <xf numFmtId="1" fontId="15" fillId="9" borderId="0" xfId="2" applyNumberFormat="1" applyFont="1" applyFill="1" applyAlignment="1">
      <alignment horizontal="right" indent="1"/>
    </xf>
    <xf numFmtId="1" fontId="5" fillId="9" borderId="0" xfId="2" applyNumberFormat="1" applyFont="1" applyFill="1"/>
    <xf numFmtId="1" fontId="15" fillId="9" borderId="0" xfId="2" applyNumberFormat="1" applyFont="1" applyFill="1"/>
    <xf numFmtId="0" fontId="17" fillId="0" borderId="0" xfId="2" applyFont="1" applyAlignment="1">
      <alignment horizontal="left"/>
    </xf>
    <xf numFmtId="1" fontId="9" fillId="9" borderId="0" xfId="2" applyNumberFormat="1" applyFont="1" applyFill="1"/>
    <xf numFmtId="0" fontId="42" fillId="0" borderId="0" xfId="2" applyFont="1" applyAlignment="1">
      <alignment horizontal="left"/>
    </xf>
    <xf numFmtId="0" fontId="38" fillId="0" borderId="0" xfId="2" applyFont="1" applyAlignment="1">
      <alignment horizontal="right"/>
    </xf>
    <xf numFmtId="1" fontId="15" fillId="4" borderId="13" xfId="2" applyNumberFormat="1" applyFont="1" applyFill="1" applyBorder="1" applyAlignment="1">
      <alignment horizontal="right" indent="1"/>
    </xf>
    <xf numFmtId="1" fontId="15" fillId="4" borderId="13" xfId="2" applyNumberFormat="1" applyFont="1" applyFill="1" applyBorder="1"/>
    <xf numFmtId="1" fontId="12" fillId="0" borderId="22" xfId="2" applyNumberFormat="1" applyFont="1" applyBorder="1"/>
    <xf numFmtId="1" fontId="12" fillId="0" borderId="18" xfId="2" applyNumberFormat="1" applyFont="1" applyBorder="1"/>
    <xf numFmtId="0" fontId="1" fillId="0" borderId="0" xfId="2"/>
    <xf numFmtId="1" fontId="15" fillId="0" borderId="0" xfId="2" applyNumberFormat="1" applyFont="1" applyAlignment="1">
      <alignment horizontal="left" indent="1"/>
    </xf>
    <xf numFmtId="0" fontId="43" fillId="0" borderId="0" xfId="2" applyFont="1" applyAlignment="1">
      <alignment horizontal="left" shrinkToFit="1"/>
    </xf>
    <xf numFmtId="0" fontId="43" fillId="0" borderId="0" xfId="2" applyFont="1" applyAlignment="1">
      <alignment horizontal="left" shrinkToFit="1"/>
    </xf>
    <xf numFmtId="0" fontId="4" fillId="0" borderId="0" xfId="2" applyFont="1" applyAlignment="1">
      <alignment horizontal="left" shrinkToFit="1"/>
    </xf>
    <xf numFmtId="1" fontId="44" fillId="0" borderId="0" xfId="2" applyNumberFormat="1" applyFont="1" applyAlignment="1">
      <alignment horizontal="center"/>
    </xf>
    <xf numFmtId="0" fontId="45" fillId="0" borderId="0" xfId="2" applyFont="1" applyAlignment="1">
      <alignment horizontal="left" shrinkToFit="1"/>
    </xf>
    <xf numFmtId="1" fontId="8" fillId="0" borderId="23" xfId="2" applyNumberFormat="1" applyFont="1" applyBorder="1" applyAlignment="1">
      <alignment shrinkToFit="1"/>
    </xf>
    <xf numFmtId="0" fontId="16" fillId="0" borderId="24" xfId="2" applyFont="1" applyBorder="1"/>
    <xf numFmtId="0" fontId="12" fillId="0" borderId="24" xfId="2" applyFont="1" applyBorder="1"/>
    <xf numFmtId="0" fontId="46" fillId="0" borderId="24" xfId="2" applyFont="1" applyBorder="1"/>
    <xf numFmtId="0" fontId="17" fillId="0" borderId="24" xfId="2" applyFont="1" applyBorder="1" applyAlignment="1">
      <alignment horizontal="left"/>
    </xf>
    <xf numFmtId="0" fontId="12" fillId="0" borderId="24" xfId="2" applyFont="1" applyBorder="1" applyAlignment="1">
      <alignment horizontal="center"/>
    </xf>
    <xf numFmtId="1" fontId="16" fillId="0" borderId="25" xfId="2" applyNumberFormat="1" applyFont="1" applyBorder="1"/>
    <xf numFmtId="1" fontId="16" fillId="0" borderId="26" xfId="2" applyNumberFormat="1" applyFont="1" applyBorder="1"/>
    <xf numFmtId="0" fontId="15" fillId="0" borderId="0" xfId="2" applyFont="1" applyAlignment="1">
      <alignment horizontal="left" indent="11"/>
    </xf>
    <xf numFmtId="0" fontId="47" fillId="0" borderId="1" xfId="2" applyFont="1" applyBorder="1" applyAlignment="1">
      <alignment horizontal="center"/>
    </xf>
    <xf numFmtId="0" fontId="47" fillId="0" borderId="2" xfId="2" applyFont="1" applyBorder="1" applyAlignment="1">
      <alignment horizontal="center"/>
    </xf>
    <xf numFmtId="0" fontId="47" fillId="0" borderId="3" xfId="2" applyFont="1" applyBorder="1" applyAlignment="1">
      <alignment horizontal="center"/>
    </xf>
    <xf numFmtId="14" fontId="48" fillId="0" borderId="7" xfId="2" applyNumberFormat="1" applyFont="1" applyBorder="1" applyAlignment="1">
      <alignment horizontal="center" shrinkToFit="1"/>
    </xf>
    <xf numFmtId="0" fontId="48" fillId="0" borderId="8" xfId="2" applyFont="1" applyBorder="1" applyAlignment="1">
      <alignment horizontal="center" shrinkToFit="1"/>
    </xf>
    <xf numFmtId="0" fontId="49" fillId="0" borderId="8" xfId="2" applyFont="1" applyBorder="1"/>
    <xf numFmtId="0" fontId="50" fillId="0" borderId="8" xfId="2" applyFont="1" applyBorder="1" applyAlignment="1">
      <alignment horizontal="center"/>
    </xf>
    <xf numFmtId="0" fontId="51" fillId="0" borderId="8" xfId="2" applyFont="1" applyBorder="1" applyAlignment="1">
      <alignment horizontal="center"/>
    </xf>
    <xf numFmtId="0" fontId="52" fillId="0" borderId="8" xfId="2" applyFont="1" applyBorder="1" applyAlignment="1">
      <alignment horizontal="center"/>
    </xf>
    <xf numFmtId="0" fontId="52" fillId="0" borderId="9" xfId="2" applyFont="1" applyBorder="1" applyAlignment="1">
      <alignment horizontal="center"/>
    </xf>
    <xf numFmtId="0" fontId="48" fillId="0" borderId="0" xfId="2" applyFont="1" applyAlignment="1">
      <alignment shrinkToFit="1"/>
    </xf>
    <xf numFmtId="0" fontId="48" fillId="0" borderId="0" xfId="2" applyFont="1"/>
    <xf numFmtId="0" fontId="18" fillId="0" borderId="13" xfId="2" applyFont="1" applyBorder="1"/>
    <xf numFmtId="0" fontId="48" fillId="0" borderId="0" xfId="2" applyFont="1" applyAlignment="1">
      <alignment horizontal="left" indent="1"/>
    </xf>
    <xf numFmtId="0" fontId="53" fillId="0" borderId="0" xfId="2" applyFont="1"/>
    <xf numFmtId="0" fontId="38" fillId="0" borderId="0" xfId="2" applyFont="1" applyAlignment="1">
      <alignment shrinkToFit="1"/>
    </xf>
    <xf numFmtId="0" fontId="38" fillId="0" borderId="0" xfId="2" applyFont="1"/>
    <xf numFmtId="0" fontId="38" fillId="0" borderId="0" xfId="2" applyFont="1" applyAlignment="1">
      <alignment horizontal="left" indent="1"/>
    </xf>
    <xf numFmtId="0" fontId="18" fillId="0" borderId="0" xfId="2" applyFont="1"/>
    <xf numFmtId="0" fontId="8" fillId="0" borderId="0" xfId="2" applyFont="1" applyAlignment="1">
      <alignment shrinkToFit="1"/>
    </xf>
    <xf numFmtId="0" fontId="56" fillId="0" borderId="0" xfId="2" applyFont="1" applyAlignment="1">
      <alignment horizontal="left" indent="1"/>
    </xf>
    <xf numFmtId="0" fontId="56" fillId="0" borderId="0" xfId="2" applyFont="1"/>
    <xf numFmtId="0" fontId="1" fillId="0" borderId="0" xfId="2" applyAlignment="1">
      <alignment horizontal="center"/>
    </xf>
    <xf numFmtId="0" fontId="57" fillId="0" borderId="0" xfId="2" applyFont="1" applyAlignment="1">
      <alignment horizontal="left" indent="1"/>
    </xf>
    <xf numFmtId="0" fontId="57" fillId="0" borderId="0" xfId="2" applyFont="1"/>
    <xf numFmtId="0" fontId="30" fillId="0" borderId="0" xfId="2" applyFont="1" applyAlignment="1">
      <alignment horizontal="left"/>
    </xf>
    <xf numFmtId="0" fontId="30" fillId="0" borderId="0" xfId="2" applyFont="1" applyAlignment="1">
      <alignment horizontal="center"/>
    </xf>
    <xf numFmtId="0" fontId="1" fillId="0" borderId="0" xfId="2" applyAlignment="1">
      <alignment horizontal="left"/>
    </xf>
    <xf numFmtId="1" fontId="1" fillId="0" borderId="0" xfId="2" applyNumberFormat="1"/>
    <xf numFmtId="14" fontId="1" fillId="0" borderId="0" xfId="2" applyNumberFormat="1" applyAlignment="1">
      <alignment horizontal="center"/>
    </xf>
    <xf numFmtId="0" fontId="12" fillId="0" borderId="0" xfId="2" applyFont="1" applyAlignment="1">
      <alignment horizontal="left"/>
    </xf>
    <xf numFmtId="1" fontId="12" fillId="0" borderId="17" xfId="2" applyNumberFormat="1" applyFont="1" applyBorder="1"/>
    <xf numFmtId="0" fontId="12" fillId="0" borderId="13" xfId="2" applyFont="1" applyBorder="1"/>
    <xf numFmtId="0" fontId="8" fillId="0" borderId="13" xfId="2" applyFont="1" applyBorder="1" applyAlignment="1">
      <alignment horizontal="right"/>
    </xf>
    <xf numFmtId="1" fontId="12" fillId="0" borderId="13" xfId="2" applyNumberFormat="1" applyFont="1" applyBorder="1"/>
    <xf numFmtId="0" fontId="8" fillId="0" borderId="0" xfId="2" applyFont="1" applyAlignment="1">
      <alignment horizontal="left"/>
    </xf>
    <xf numFmtId="0" fontId="58" fillId="0" borderId="0" xfId="2" applyFont="1" applyAlignment="1">
      <alignment horizontal="left" indent="1"/>
    </xf>
    <xf numFmtId="0" fontId="8" fillId="0" borderId="13" xfId="2" applyFont="1" applyBorder="1" applyAlignment="1">
      <alignment horizontal="left"/>
    </xf>
    <xf numFmtId="1" fontId="59" fillId="4" borderId="13" xfId="2" applyNumberFormat="1" applyFont="1" applyFill="1" applyBorder="1"/>
    <xf numFmtId="0" fontId="60" fillId="5" borderId="1" xfId="2" applyFont="1" applyFill="1" applyBorder="1" applyAlignment="1">
      <alignment horizontal="center"/>
    </xf>
    <xf numFmtId="0" fontId="60" fillId="5" borderId="2" xfId="2" applyFont="1" applyFill="1" applyBorder="1" applyAlignment="1">
      <alignment horizontal="center"/>
    </xf>
    <xf numFmtId="0" fontId="60" fillId="5" borderId="3" xfId="2" applyFont="1" applyFill="1" applyBorder="1" applyAlignment="1">
      <alignment horizontal="center"/>
    </xf>
    <xf numFmtId="0" fontId="30" fillId="0" borderId="0" xfId="2" applyFont="1"/>
    <xf numFmtId="0" fontId="1" fillId="5" borderId="4" xfId="2" applyFill="1" applyBorder="1" applyAlignment="1">
      <alignment horizontal="left" indent="1"/>
    </xf>
    <xf numFmtId="0" fontId="1" fillId="5" borderId="5" xfId="2" applyFill="1" applyBorder="1" applyAlignment="1">
      <alignment horizontal="center"/>
    </xf>
    <xf numFmtId="9" fontId="1" fillId="5" borderId="5" xfId="1" applyFont="1" applyFill="1" applyBorder="1" applyAlignment="1">
      <alignment horizontal="center"/>
    </xf>
    <xf numFmtId="14" fontId="12" fillId="0" borderId="0" xfId="2" applyNumberFormat="1" applyFont="1"/>
    <xf numFmtId="14" fontId="12" fillId="0" borderId="0" xfId="2" applyNumberFormat="1" applyFont="1" applyAlignment="1">
      <alignment horizontal="center"/>
    </xf>
    <xf numFmtId="0" fontId="34" fillId="0" borderId="0" xfId="2" applyFont="1" applyAlignment="1">
      <alignment horizontal="center"/>
    </xf>
    <xf numFmtId="0" fontId="54" fillId="10" borderId="4" xfId="2" applyFont="1" applyFill="1" applyBorder="1" applyAlignment="1">
      <alignment horizontal="center"/>
    </xf>
    <xf numFmtId="0" fontId="54" fillId="10" borderId="0" xfId="2" applyFont="1" applyFill="1" applyAlignment="1">
      <alignment horizontal="center"/>
    </xf>
    <xf numFmtId="0" fontId="54" fillId="10" borderId="5" xfId="2" applyFont="1" applyFill="1" applyBorder="1" applyAlignment="1">
      <alignment horizontal="center"/>
    </xf>
    <xf numFmtId="0" fontId="26" fillId="0" borderId="0" xfId="2" applyFont="1" applyAlignment="1">
      <alignment horizontal="center"/>
    </xf>
    <xf numFmtId="0" fontId="34" fillId="0" borderId="0" xfId="2" applyFont="1" applyAlignment="1">
      <alignment horizontal="left" indent="1"/>
    </xf>
    <xf numFmtId="0" fontId="1" fillId="10" borderId="4" xfId="2" applyFill="1" applyBorder="1" applyAlignment="1">
      <alignment horizontal="center"/>
    </xf>
    <xf numFmtId="0" fontId="1" fillId="10" borderId="0" xfId="2" applyFill="1" applyAlignment="1">
      <alignment horizontal="center"/>
    </xf>
    <xf numFmtId="0" fontId="1" fillId="10" borderId="5" xfId="2" applyFill="1" applyBorder="1" applyAlignment="1">
      <alignment horizontal="center"/>
    </xf>
    <xf numFmtId="1" fontId="26" fillId="0" borderId="0" xfId="2" applyNumberFormat="1" applyFont="1" applyAlignment="1">
      <alignment horizontal="left"/>
    </xf>
    <xf numFmtId="0" fontId="34" fillId="0" borderId="0" xfId="2" applyFont="1" applyAlignment="1">
      <alignment horizontal="left"/>
    </xf>
    <xf numFmtId="1" fontId="26" fillId="0" borderId="0" xfId="2" applyNumberFormat="1" applyFont="1" applyAlignment="1">
      <alignment horizontal="center"/>
    </xf>
    <xf numFmtId="0" fontId="1" fillId="10" borderId="7" xfId="2" applyFill="1" applyBorder="1" applyAlignment="1">
      <alignment horizontal="center"/>
    </xf>
    <xf numFmtId="0" fontId="1" fillId="10" borderId="8" xfId="2" applyFill="1" applyBorder="1" applyAlignment="1">
      <alignment horizontal="center"/>
    </xf>
    <xf numFmtId="0" fontId="1" fillId="10" borderId="9" xfId="2" applyFill="1" applyBorder="1" applyAlignment="1">
      <alignment horizontal="center"/>
    </xf>
    <xf numFmtId="0" fontId="62" fillId="7" borderId="0" xfId="2" applyFont="1" applyFill="1"/>
    <xf numFmtId="0" fontId="63" fillId="7" borderId="0" xfId="2" applyFont="1" applyFill="1"/>
    <xf numFmtId="0" fontId="11" fillId="7" borderId="0" xfId="2" applyFont="1" applyFill="1"/>
    <xf numFmtId="1" fontId="16" fillId="7" borderId="0" xfId="2" applyNumberFormat="1" applyFont="1" applyFill="1"/>
    <xf numFmtId="0" fontId="64" fillId="0" borderId="0" xfId="2" applyFont="1"/>
    <xf numFmtId="2" fontId="65" fillId="0" borderId="0" xfId="2" applyNumberFormat="1" applyFont="1"/>
    <xf numFmtId="1" fontId="9" fillId="0" borderId="0" xfId="2" applyNumberFormat="1" applyFont="1"/>
    <xf numFmtId="0" fontId="26" fillId="0" borderId="0" xfId="2" applyFont="1" applyAlignment="1">
      <alignment horizontal="center" vertical="center"/>
    </xf>
    <xf numFmtId="0" fontId="1" fillId="0" borderId="0" xfId="2" applyAlignment="1">
      <alignment horizontal="center" vertical="center"/>
    </xf>
    <xf numFmtId="1" fontId="48" fillId="0" borderId="0" xfId="2" applyNumberFormat="1" applyFont="1" applyAlignment="1">
      <alignment horizontal="center" vertical="center" wrapText="1"/>
    </xf>
    <xf numFmtId="1" fontId="1" fillId="0" borderId="0" xfId="2" applyNumberFormat="1" applyAlignment="1">
      <alignment horizontal="center" vertical="center"/>
    </xf>
    <xf numFmtId="0" fontId="8" fillId="0" borderId="0" xfId="2" applyFont="1" applyAlignment="1">
      <alignment horizontal="center" shrinkToFit="1"/>
    </xf>
    <xf numFmtId="164" fontId="1" fillId="0" borderId="0" xfId="2" applyNumberFormat="1" applyAlignment="1">
      <alignment horizontal="center"/>
    </xf>
    <xf numFmtId="1" fontId="1" fillId="5" borderId="0" xfId="2" applyNumberFormat="1" applyFill="1"/>
    <xf numFmtId="1" fontId="1" fillId="0" borderId="0" xfId="2" applyNumberFormat="1" applyAlignment="1">
      <alignment horizontal="center"/>
    </xf>
    <xf numFmtId="2" fontId="66" fillId="0" borderId="0" xfId="2" applyNumberFormat="1" applyFont="1" applyAlignment="1">
      <alignment horizontal="center"/>
    </xf>
    <xf numFmtId="0" fontId="66" fillId="0" borderId="0" xfId="2" applyFont="1" applyAlignment="1">
      <alignment horizontal="center"/>
    </xf>
    <xf numFmtId="0" fontId="66" fillId="0" borderId="0" xfId="2" applyFont="1"/>
    <xf numFmtId="1" fontId="66" fillId="0" borderId="0" xfId="2" applyNumberFormat="1" applyFont="1" applyAlignment="1">
      <alignment horizontal="center"/>
    </xf>
    <xf numFmtId="2" fontId="1" fillId="0" borderId="0" xfId="2" applyNumberFormat="1"/>
    <xf numFmtId="1" fontId="63" fillId="0" borderId="13" xfId="2" applyNumberFormat="1" applyFont="1" applyBorder="1"/>
    <xf numFmtId="1" fontId="63" fillId="4" borderId="13" xfId="2" applyNumberFormat="1" applyFont="1" applyFill="1" applyBorder="1" applyAlignment="1">
      <alignment horizontal="center"/>
    </xf>
    <xf numFmtId="0" fontId="8" fillId="0" borderId="8" xfId="2" applyFont="1" applyBorder="1" applyAlignment="1">
      <alignment shrinkToFit="1"/>
    </xf>
    <xf numFmtId="0" fontId="1" fillId="0" borderId="8" xfId="2" applyBorder="1"/>
    <xf numFmtId="1" fontId="63" fillId="0" borderId="8" xfId="2" applyNumberFormat="1" applyFont="1" applyBorder="1"/>
    <xf numFmtId="2" fontId="63" fillId="0" borderId="0" xfId="2" applyNumberFormat="1" applyFont="1"/>
    <xf numFmtId="17" fontId="1" fillId="0" borderId="0" xfId="2" applyNumberFormat="1" applyAlignment="1">
      <alignment horizontal="center"/>
    </xf>
    <xf numFmtId="0" fontId="26" fillId="0" borderId="0" xfId="2" applyFont="1" applyAlignment="1">
      <alignment horizontal="left" indent="1"/>
    </xf>
    <xf numFmtId="1" fontId="1" fillId="0" borderId="13" xfId="2" applyNumberFormat="1" applyBorder="1"/>
    <xf numFmtId="9" fontId="5" fillId="0" borderId="0" xfId="2" applyNumberFormat="1" applyFont="1" applyAlignment="1">
      <alignment horizontal="center"/>
    </xf>
    <xf numFmtId="0" fontId="67" fillId="0" borderId="0" xfId="2" applyFont="1" applyAlignment="1">
      <alignment horizontal="left"/>
    </xf>
    <xf numFmtId="1" fontId="12" fillId="0" borderId="0" xfId="2" applyNumberFormat="1" applyFont="1" applyAlignment="1">
      <alignment horizontal="center"/>
    </xf>
    <xf numFmtId="2" fontId="9" fillId="0" borderId="0" xfId="2" applyNumberFormat="1" applyFont="1" applyAlignment="1">
      <alignment horizontal="center"/>
    </xf>
    <xf numFmtId="0" fontId="9" fillId="0" borderId="0" xfId="2" applyFont="1" applyAlignment="1">
      <alignment horizontal="center"/>
    </xf>
    <xf numFmtId="1" fontId="9" fillId="0" borderId="0" xfId="2" applyNumberFormat="1" applyFont="1" applyAlignment="1">
      <alignment horizontal="center"/>
    </xf>
    <xf numFmtId="164" fontId="25" fillId="5" borderId="0" xfId="2" applyNumberFormat="1" applyFont="1" applyFill="1" applyAlignment="1">
      <alignment horizontal="center"/>
    </xf>
    <xf numFmtId="1" fontId="67" fillId="0" borderId="0" xfId="2" applyNumberFormat="1" applyFont="1" applyAlignment="1">
      <alignment horizontal="left"/>
    </xf>
    <xf numFmtId="2" fontId="63" fillId="0" borderId="0" xfId="2" applyNumberFormat="1" applyFont="1" applyAlignment="1">
      <alignment horizontal="center"/>
    </xf>
    <xf numFmtId="1" fontId="67" fillId="0" borderId="0" xfId="2" applyNumberFormat="1" applyFont="1" applyAlignment="1">
      <alignment horizontal="right"/>
    </xf>
    <xf numFmtId="1" fontId="1" fillId="0" borderId="0" xfId="2" applyNumberFormat="1" applyAlignment="1">
      <alignment horizontal="right"/>
    </xf>
    <xf numFmtId="0" fontId="12" fillId="0" borderId="8" xfId="2" applyFont="1" applyBorder="1"/>
    <xf numFmtId="0" fontId="26" fillId="0" borderId="8" xfId="2" applyFont="1" applyBorder="1"/>
    <xf numFmtId="1" fontId="1" fillId="0" borderId="8" xfId="2" applyNumberFormat="1" applyBorder="1" applyAlignment="1">
      <alignment horizontal="right"/>
    </xf>
    <xf numFmtId="1" fontId="1" fillId="0" borderId="8" xfId="2" applyNumberFormat="1" applyBorder="1"/>
    <xf numFmtId="2" fontId="63" fillId="0" borderId="8" xfId="2" applyNumberFormat="1" applyFont="1" applyBorder="1" applyAlignment="1">
      <alignment horizontal="center"/>
    </xf>
    <xf numFmtId="2" fontId="68" fillId="0" borderId="0" xfId="2" applyNumberFormat="1" applyFont="1" applyAlignment="1">
      <alignment horizontal="center"/>
    </xf>
    <xf numFmtId="0" fontId="68" fillId="0" borderId="0" xfId="2" applyFont="1" applyAlignment="1">
      <alignment horizontal="center"/>
    </xf>
    <xf numFmtId="0" fontId="68" fillId="0" borderId="0" xfId="2" applyFont="1"/>
    <xf numFmtId="1" fontId="68" fillId="0" borderId="0" xfId="2" applyNumberFormat="1" applyFont="1" applyAlignment="1">
      <alignment horizontal="center"/>
    </xf>
    <xf numFmtId="17" fontId="1" fillId="0" borderId="0" xfId="2" applyNumberFormat="1"/>
    <xf numFmtId="0" fontId="53" fillId="0" borderId="1" xfId="2" applyFont="1" applyBorder="1"/>
    <xf numFmtId="0" fontId="15" fillId="0" borderId="2" xfId="2" applyFont="1" applyBorder="1"/>
    <xf numFmtId="0" fontId="69" fillId="0" borderId="2" xfId="2" applyFont="1" applyBorder="1" applyAlignment="1">
      <alignment horizontal="center"/>
    </xf>
    <xf numFmtId="0" fontId="69" fillId="0" borderId="3" xfId="2" applyFont="1" applyBorder="1" applyAlignment="1">
      <alignment horizontal="center"/>
    </xf>
    <xf numFmtId="0" fontId="70" fillId="0" borderId="0" xfId="2" applyFont="1"/>
    <xf numFmtId="0" fontId="9" fillId="0" borderId="4" xfId="2" applyFont="1" applyBorder="1"/>
    <xf numFmtId="0" fontId="71" fillId="0" borderId="4" xfId="2" applyFont="1" applyBorder="1" applyAlignment="1">
      <alignment horizontal="center" vertical="center"/>
    </xf>
    <xf numFmtId="0" fontId="73" fillId="0" borderId="0" xfId="2" applyFont="1" applyAlignment="1">
      <alignment horizontal="left" vertical="top" wrapText="1"/>
    </xf>
    <xf numFmtId="0" fontId="73" fillId="0" borderId="5" xfId="2" applyFont="1" applyBorder="1" applyAlignment="1">
      <alignment horizontal="left" vertical="top" wrapText="1"/>
    </xf>
    <xf numFmtId="0" fontId="19" fillId="0" borderId="0" xfId="2" applyFont="1" applyAlignment="1">
      <alignment horizontal="left" vertical="center"/>
    </xf>
    <xf numFmtId="0" fontId="15" fillId="0" borderId="4" xfId="2" applyFont="1" applyBorder="1" applyAlignment="1">
      <alignment shrinkToFit="1"/>
    </xf>
    <xf numFmtId="0" fontId="74" fillId="0" borderId="0" xfId="2" applyFont="1" applyAlignment="1">
      <alignment horizontal="left" vertical="top" wrapText="1"/>
    </xf>
    <xf numFmtId="0" fontId="74" fillId="0" borderId="5" xfId="2" applyFont="1" applyBorder="1" applyAlignment="1">
      <alignment horizontal="left" vertical="top" wrapText="1"/>
    </xf>
    <xf numFmtId="0" fontId="15" fillId="0" borderId="7" xfId="2" applyFont="1" applyBorder="1" applyAlignment="1">
      <alignment shrinkToFit="1"/>
    </xf>
    <xf numFmtId="0" fontId="73" fillId="0" borderId="8" xfId="2" applyFont="1" applyBorder="1" applyAlignment="1">
      <alignment horizontal="left" vertical="top" wrapText="1"/>
    </xf>
    <xf numFmtId="0" fontId="15" fillId="0" borderId="9" xfId="2" applyFont="1" applyBorder="1"/>
    <xf numFmtId="0" fontId="15" fillId="0" borderId="0" xfId="2" applyFont="1" applyAlignment="1">
      <alignment shrinkToFit="1"/>
    </xf>
    <xf numFmtId="0" fontId="73" fillId="0" borderId="0" xfId="2" applyFont="1" applyAlignment="1">
      <alignment horizontal="left" vertical="top" wrapText="1"/>
    </xf>
    <xf numFmtId="0" fontId="73" fillId="0" borderId="2" xfId="2" applyFont="1" applyBorder="1" applyAlignment="1">
      <alignment horizontal="left" vertical="top" wrapText="1"/>
    </xf>
    <xf numFmtId="0" fontId="76" fillId="0" borderId="2" xfId="2" applyFont="1" applyBorder="1" applyAlignment="1">
      <alignment horizontal="center"/>
    </xf>
    <xf numFmtId="0" fontId="76" fillId="0" borderId="3" xfId="2" applyFont="1" applyBorder="1" applyAlignment="1">
      <alignment horizontal="center"/>
    </xf>
    <xf numFmtId="0" fontId="77" fillId="0" borderId="0" xfId="2" applyFont="1"/>
    <xf numFmtId="0" fontId="8" fillId="0" borderId="7" xfId="2" applyFont="1" applyBorder="1" applyAlignment="1">
      <alignment shrinkToFit="1"/>
    </xf>
    <xf numFmtId="0" fontId="15" fillId="0" borderId="8" xfId="2" applyFont="1" applyBorder="1"/>
    <xf numFmtId="0" fontId="12" fillId="0" borderId="9" xfId="2" applyFont="1" applyBorder="1"/>
    <xf numFmtId="0" fontId="69" fillId="0" borderId="1" xfId="2" applyFont="1" applyBorder="1"/>
    <xf numFmtId="0" fontId="26" fillId="0" borderId="2" xfId="2" applyFont="1" applyBorder="1" applyAlignment="1">
      <alignment horizontal="center"/>
    </xf>
    <xf numFmtId="0" fontId="1" fillId="0" borderId="2" xfId="2" applyBorder="1" applyAlignment="1">
      <alignment horizontal="center"/>
    </xf>
    <xf numFmtId="0" fontId="39" fillId="0" borderId="2" xfId="2" applyFont="1" applyBorder="1"/>
    <xf numFmtId="0" fontId="12" fillId="0" borderId="2" xfId="2" applyFont="1" applyBorder="1"/>
    <xf numFmtId="0" fontId="12" fillId="0" borderId="3" xfId="2" applyFont="1" applyBorder="1"/>
    <xf numFmtId="0" fontId="12" fillId="0" borderId="4" xfId="2" applyFont="1" applyBorder="1" applyAlignment="1">
      <alignment horizontal="left" indent="1"/>
    </xf>
    <xf numFmtId="0" fontId="1" fillId="0" borderId="0" xfId="2" applyAlignment="1">
      <alignment horizontal="right"/>
    </xf>
    <xf numFmtId="0" fontId="69" fillId="0" borderId="4" xfId="2" applyFont="1" applyBorder="1"/>
    <xf numFmtId="0" fontId="7" fillId="0" borderId="0" xfId="2" applyFont="1" applyAlignment="1">
      <alignment horizontal="left"/>
    </xf>
    <xf numFmtId="0" fontId="1" fillId="0" borderId="0" xfId="2" applyAlignment="1">
      <alignment horizontal="left" indent="1"/>
    </xf>
    <xf numFmtId="0" fontId="69" fillId="0" borderId="7" xfId="2" applyFont="1" applyBorder="1"/>
    <xf numFmtId="0" fontId="78" fillId="0" borderId="8" xfId="2" applyFont="1" applyBorder="1"/>
    <xf numFmtId="0" fontId="1" fillId="0" borderId="8" xfId="2" applyBorder="1" applyAlignment="1">
      <alignment horizontal="right"/>
    </xf>
  </cellXfs>
  <cellStyles count="3">
    <cellStyle name="Normal" xfId="0" builtinId="0"/>
    <cellStyle name="Normal 2 2" xfId="2" xr:uid="{41129105-62CA-4A3D-B39D-3F7D6E750292}"/>
    <cellStyle name="Percent" xfId="1" builtinId="5"/>
  </cellStyles>
  <dxfs count="1">
    <dxf>
      <font>
        <condense val="0"/>
        <extend val="0"/>
        <color indexed="12"/>
      </font>
      <fill>
        <patternFill>
          <bgColor indexed="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tilmb21.indiatimes.com/service/home/~/Final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i1.86 "/>
      <sheetName val="Reader"/>
      <sheetName val="Sheet1"/>
    </sheetNames>
    <sheetDataSet>
      <sheetData sheetId="0"/>
      <sheetData sheetId="1"/>
      <sheetData sheetId="2">
        <row r="4">
          <cell r="S4">
            <v>13260</v>
          </cell>
          <cell r="T4">
            <v>37400</v>
          </cell>
        </row>
        <row r="5">
          <cell r="S5">
            <v>13680</v>
          </cell>
          <cell r="T5">
            <v>37400</v>
          </cell>
        </row>
        <row r="6">
          <cell r="S6">
            <v>14100</v>
          </cell>
          <cell r="T6">
            <v>38530</v>
          </cell>
        </row>
        <row r="7">
          <cell r="S7">
            <v>14520</v>
          </cell>
          <cell r="T7">
            <v>38530</v>
          </cell>
        </row>
        <row r="8">
          <cell r="S8">
            <v>14940</v>
          </cell>
          <cell r="T8">
            <v>39690</v>
          </cell>
        </row>
        <row r="9">
          <cell r="S9">
            <v>15360</v>
          </cell>
          <cell r="T9">
            <v>39690</v>
          </cell>
        </row>
        <row r="10">
          <cell r="S10">
            <v>15780</v>
          </cell>
          <cell r="T10">
            <v>40890</v>
          </cell>
        </row>
        <row r="11">
          <cell r="S11">
            <v>16200</v>
          </cell>
          <cell r="T11">
            <v>40890</v>
          </cell>
        </row>
        <row r="12">
          <cell r="S12">
            <v>16400</v>
          </cell>
          <cell r="T12">
            <v>43390</v>
          </cell>
        </row>
        <row r="13">
          <cell r="S13">
            <v>16620</v>
          </cell>
          <cell r="T13">
            <v>42120</v>
          </cell>
        </row>
        <row r="14">
          <cell r="S14">
            <v>16850</v>
          </cell>
          <cell r="T14">
            <v>43390</v>
          </cell>
        </row>
        <row r="15">
          <cell r="S15">
            <v>17040</v>
          </cell>
          <cell r="T15">
            <v>42120</v>
          </cell>
        </row>
        <row r="16">
          <cell r="S16">
            <v>17300</v>
          </cell>
          <cell r="T16">
            <v>44700</v>
          </cell>
        </row>
        <row r="17">
          <cell r="S17">
            <v>17460</v>
          </cell>
          <cell r="T17">
            <v>43390</v>
          </cell>
        </row>
        <row r="18">
          <cell r="S18">
            <v>17750</v>
          </cell>
          <cell r="T18">
            <v>44700</v>
          </cell>
        </row>
        <row r="19">
          <cell r="S19">
            <v>17880</v>
          </cell>
          <cell r="T19">
            <v>43390</v>
          </cell>
        </row>
        <row r="20">
          <cell r="S20">
            <v>18200</v>
          </cell>
          <cell r="T20">
            <v>46050</v>
          </cell>
        </row>
        <row r="21">
          <cell r="S21">
            <v>18300</v>
          </cell>
          <cell r="T21">
            <v>44700</v>
          </cell>
        </row>
        <row r="22">
          <cell r="S22">
            <v>18650</v>
          </cell>
          <cell r="T22">
            <v>46050</v>
          </cell>
        </row>
        <row r="23">
          <cell r="S23">
            <v>18720</v>
          </cell>
          <cell r="T23">
            <v>44700</v>
          </cell>
        </row>
        <row r="24">
          <cell r="S24">
            <v>19100</v>
          </cell>
          <cell r="T24">
            <v>47440</v>
          </cell>
        </row>
        <row r="25">
          <cell r="S25">
            <v>19140</v>
          </cell>
          <cell r="T25">
            <v>46050</v>
          </cell>
        </row>
        <row r="26">
          <cell r="S26">
            <v>19550</v>
          </cell>
          <cell r="T26">
            <v>47440</v>
          </cell>
        </row>
        <row r="27">
          <cell r="S27">
            <v>19560</v>
          </cell>
          <cell r="T27">
            <v>46050</v>
          </cell>
        </row>
        <row r="28">
          <cell r="S28">
            <v>19980</v>
          </cell>
          <cell r="T28">
            <v>47440</v>
          </cell>
        </row>
        <row r="29">
          <cell r="S29">
            <v>20000</v>
          </cell>
          <cell r="T29">
            <v>48870</v>
          </cell>
        </row>
        <row r="30">
          <cell r="S30">
            <v>20450</v>
          </cell>
          <cell r="T30">
            <v>48870</v>
          </cell>
        </row>
        <row r="31">
          <cell r="S31">
            <v>20900</v>
          </cell>
          <cell r="T31">
            <v>50340</v>
          </cell>
        </row>
        <row r="32">
          <cell r="S32">
            <v>21400</v>
          </cell>
          <cell r="T32">
            <v>50340</v>
          </cell>
        </row>
        <row r="33">
          <cell r="S33">
            <v>21900</v>
          </cell>
          <cell r="T33">
            <v>51860</v>
          </cell>
        </row>
        <row r="34">
          <cell r="S34">
            <v>22400</v>
          </cell>
          <cell r="T34">
            <v>51860</v>
          </cell>
        </row>
        <row r="35">
          <cell r="S35">
            <v>22900</v>
          </cell>
          <cell r="T35">
            <v>53420</v>
          </cell>
        </row>
        <row r="36">
          <cell r="S36">
            <v>23400</v>
          </cell>
          <cell r="T36">
            <v>53420</v>
          </cell>
        </row>
        <row r="37">
          <cell r="S37">
            <v>23900</v>
          </cell>
          <cell r="T37">
            <v>55030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1C1F2C-34A8-43A1-AFC9-016C14F73A64}">
  <sheetPr>
    <pageSetUpPr fitToPage="1"/>
  </sheetPr>
  <dimension ref="A1:N174"/>
  <sheetViews>
    <sheetView showZeros="0" tabSelected="1" topLeftCell="A13" zoomScale="120" workbookViewId="0">
      <selection activeCell="A67" sqref="A67"/>
    </sheetView>
  </sheetViews>
  <sheetFormatPr defaultColWidth="9.109375" defaultRowHeight="15" customHeight="1" x14ac:dyDescent="0.25"/>
  <cols>
    <col min="1" max="1" width="3.6640625" style="180" customWidth="1"/>
    <col min="2" max="2" width="9.6640625" style="18" customWidth="1"/>
    <col min="3" max="3" width="10.6640625" style="18" customWidth="1"/>
    <col min="4" max="4" width="12.6640625" style="18" customWidth="1"/>
    <col min="5" max="5" width="15.88671875" style="18" customWidth="1"/>
    <col min="6" max="6" width="10.44140625" style="18" customWidth="1"/>
    <col min="7" max="7" width="10.6640625" style="18" customWidth="1"/>
    <col min="8" max="8" width="12.6640625" style="18" customWidth="1"/>
    <col min="9" max="9" width="2.88671875" style="18" customWidth="1"/>
    <col min="10" max="10" width="5.5546875" style="18" customWidth="1"/>
    <col min="11" max="11" width="27" style="18" customWidth="1"/>
    <col min="12" max="12" width="13.5546875" style="18" customWidth="1"/>
    <col min="13" max="13" width="10.44140625" style="18" customWidth="1"/>
    <col min="14" max="14" width="11.21875" style="18" customWidth="1"/>
    <col min="15" max="16384" width="9.109375" style="18"/>
  </cols>
  <sheetData>
    <row r="1" spans="1:14" s="9" customFormat="1" ht="14.25" customHeight="1" x14ac:dyDescent="0.3">
      <c r="A1" s="1" t="s">
        <v>0</v>
      </c>
      <c r="B1" s="2"/>
      <c r="C1" s="2"/>
      <c r="D1" s="3" t="s">
        <v>1</v>
      </c>
      <c r="E1" s="3"/>
      <c r="F1" s="3"/>
      <c r="G1" s="3"/>
      <c r="H1" s="3"/>
      <c r="I1" s="4"/>
      <c r="J1" s="5" t="s">
        <v>2</v>
      </c>
      <c r="K1" s="6"/>
      <c r="L1" s="6"/>
      <c r="M1" s="7"/>
      <c r="N1" s="8" t="s">
        <v>3</v>
      </c>
    </row>
    <row r="2" spans="1:14" ht="15" customHeight="1" thickBot="1" x14ac:dyDescent="0.3">
      <c r="A2" s="10" t="s">
        <v>4</v>
      </c>
      <c r="B2" s="11"/>
      <c r="C2" s="11"/>
      <c r="D2" s="12" t="s">
        <v>5</v>
      </c>
      <c r="E2" s="13" t="s">
        <v>6</v>
      </c>
      <c r="F2" s="14" t="s">
        <v>7</v>
      </c>
      <c r="G2" s="14"/>
      <c r="H2" s="15">
        <v>28682</v>
      </c>
      <c r="I2" s="16">
        <f>IF(H2&lt;22008,"Sr",0)</f>
        <v>0</v>
      </c>
      <c r="J2" s="17"/>
      <c r="M2" s="17" t="s">
        <v>8</v>
      </c>
      <c r="N2" s="19">
        <v>44408</v>
      </c>
    </row>
    <row r="3" spans="1:14" ht="15" customHeight="1" x14ac:dyDescent="0.25">
      <c r="A3" s="20"/>
      <c r="B3" s="21" t="s">
        <v>9</v>
      </c>
      <c r="G3" s="22"/>
      <c r="H3" s="23" t="s">
        <v>10</v>
      </c>
      <c r="I3" s="24"/>
      <c r="K3" s="18" t="s">
        <v>11</v>
      </c>
      <c r="L3" s="18">
        <v>14500000</v>
      </c>
      <c r="N3" s="25" t="s">
        <v>12</v>
      </c>
    </row>
    <row r="4" spans="1:14" ht="15" customHeight="1" x14ac:dyDescent="0.25">
      <c r="A4" s="26"/>
      <c r="B4" s="27" t="s">
        <v>13</v>
      </c>
      <c r="C4" s="28" t="s">
        <v>14</v>
      </c>
      <c r="G4" s="29">
        <f>+L6</f>
        <v>14590000</v>
      </c>
      <c r="H4" s="30"/>
      <c r="I4" s="31"/>
      <c r="J4" s="32" t="s">
        <v>15</v>
      </c>
      <c r="K4" s="18" t="s">
        <v>16</v>
      </c>
      <c r="L4" s="18">
        <v>40000</v>
      </c>
      <c r="M4" s="18">
        <v>40000</v>
      </c>
      <c r="N4" s="33">
        <v>44561</v>
      </c>
    </row>
    <row r="5" spans="1:14" ht="15" customHeight="1" x14ac:dyDescent="0.25">
      <c r="A5" s="26"/>
      <c r="B5" s="27" t="s">
        <v>17</v>
      </c>
      <c r="C5" s="28" t="s">
        <v>18</v>
      </c>
      <c r="G5" s="29">
        <f>L7+L8</f>
        <v>78000</v>
      </c>
      <c r="H5" s="30"/>
      <c r="I5" s="31"/>
      <c r="J5" s="32" t="s">
        <v>19</v>
      </c>
      <c r="K5" s="18" t="s">
        <v>20</v>
      </c>
      <c r="L5" s="18">
        <v>50000</v>
      </c>
      <c r="M5" s="18">
        <v>30000</v>
      </c>
      <c r="N5" s="34" t="s">
        <v>21</v>
      </c>
    </row>
    <row r="6" spans="1:14" ht="15" customHeight="1" thickBot="1" x14ac:dyDescent="0.3">
      <c r="A6" s="26"/>
      <c r="B6" s="27" t="s">
        <v>22</v>
      </c>
      <c r="C6" s="28" t="s">
        <v>23</v>
      </c>
      <c r="G6" s="35">
        <f>+L9</f>
        <v>16000</v>
      </c>
      <c r="H6" s="30"/>
      <c r="I6" s="31"/>
      <c r="K6" s="36"/>
      <c r="L6" s="37">
        <f>SUM(L3:L5)</f>
        <v>14590000</v>
      </c>
      <c r="M6" s="37">
        <f>SUM(M3:M5)</f>
        <v>70000</v>
      </c>
      <c r="N6" s="38">
        <v>44485</v>
      </c>
    </row>
    <row r="7" spans="1:14" ht="15" customHeight="1" thickTop="1" x14ac:dyDescent="0.25">
      <c r="A7" s="26"/>
      <c r="B7" s="21"/>
      <c r="C7" s="28"/>
      <c r="F7" s="39" t="s">
        <v>24</v>
      </c>
      <c r="G7" s="40">
        <f>G4+G5+G6</f>
        <v>14684000</v>
      </c>
      <c r="H7" s="30"/>
      <c r="I7" s="31"/>
      <c r="K7" s="18" t="s">
        <v>25</v>
      </c>
      <c r="L7" s="18">
        <v>30000</v>
      </c>
      <c r="N7" s="41" t="s">
        <v>26</v>
      </c>
    </row>
    <row r="8" spans="1:14" ht="15" customHeight="1" x14ac:dyDescent="0.25">
      <c r="A8" s="26"/>
      <c r="B8" s="27" t="s">
        <v>27</v>
      </c>
      <c r="C8" s="28" t="s">
        <v>28</v>
      </c>
      <c r="G8" s="35">
        <f>M6+M9</f>
        <v>78000</v>
      </c>
      <c r="H8" s="30"/>
      <c r="I8" s="31"/>
      <c r="K8" s="18" t="s">
        <v>29</v>
      </c>
      <c r="L8" s="18">
        <v>48000</v>
      </c>
      <c r="N8" s="42" t="s">
        <v>30</v>
      </c>
    </row>
    <row r="9" spans="1:14" ht="15" customHeight="1" thickBot="1" x14ac:dyDescent="0.3">
      <c r="A9" s="26"/>
      <c r="B9" s="21"/>
      <c r="F9" s="39" t="s">
        <v>31</v>
      </c>
      <c r="G9" s="43">
        <f>G7-G8</f>
        <v>14606000</v>
      </c>
      <c r="H9" s="30"/>
      <c r="I9" s="31"/>
      <c r="J9" s="32" t="s">
        <v>32</v>
      </c>
      <c r="K9" s="18" t="s">
        <v>33</v>
      </c>
      <c r="L9" s="18">
        <v>16000</v>
      </c>
      <c r="M9" s="18">
        <v>8000</v>
      </c>
      <c r="N9" s="44">
        <v>5000</v>
      </c>
    </row>
    <row r="10" spans="1:14" ht="15" customHeight="1" x14ac:dyDescent="0.25">
      <c r="A10" s="26"/>
      <c r="B10" s="27" t="s">
        <v>34</v>
      </c>
      <c r="C10" s="45" t="s">
        <v>35</v>
      </c>
      <c r="G10" s="35">
        <v>50000</v>
      </c>
      <c r="H10" s="30">
        <f>G9-G10</f>
        <v>14556000</v>
      </c>
      <c r="I10" s="31"/>
      <c r="J10" s="17"/>
      <c r="M10" s="46" t="s">
        <v>36</v>
      </c>
    </row>
    <row r="11" spans="1:14" ht="21" customHeight="1" x14ac:dyDescent="0.25">
      <c r="A11" s="26"/>
      <c r="B11" s="21" t="s">
        <v>37</v>
      </c>
      <c r="E11" s="47"/>
      <c r="G11" s="22"/>
      <c r="H11" s="30"/>
      <c r="I11" s="31"/>
      <c r="K11" s="48" t="s">
        <v>38</v>
      </c>
      <c r="L11" s="48">
        <v>900000</v>
      </c>
      <c r="M11" s="49">
        <v>100000</v>
      </c>
    </row>
    <row r="12" spans="1:14" ht="15" customHeight="1" x14ac:dyDescent="0.25">
      <c r="A12" s="26"/>
      <c r="B12" s="50"/>
      <c r="C12" s="51" t="s">
        <v>39</v>
      </c>
      <c r="D12" s="28"/>
      <c r="E12" s="52" t="s">
        <v>40</v>
      </c>
      <c r="F12" s="17"/>
      <c r="G12" s="53">
        <f>L11+M11</f>
        <v>1000000</v>
      </c>
      <c r="H12" s="54"/>
      <c r="I12" s="31"/>
      <c r="J12" s="17"/>
      <c r="K12" s="48" t="s">
        <v>41</v>
      </c>
      <c r="L12" s="48"/>
      <c r="M12" s="55"/>
    </row>
    <row r="13" spans="1:14" ht="15" customHeight="1" x14ac:dyDescent="0.25">
      <c r="A13" s="26"/>
      <c r="C13" s="56" t="s">
        <v>42</v>
      </c>
      <c r="D13" s="28"/>
      <c r="E13" s="52" t="str">
        <f>+K13</f>
        <v>Paid by Assessee</v>
      </c>
      <c r="F13" s="17"/>
      <c r="G13" s="57">
        <f>+L13</f>
        <v>20000</v>
      </c>
      <c r="H13" s="54"/>
      <c r="I13" s="31"/>
      <c r="J13" s="17"/>
      <c r="K13" s="58" t="s">
        <v>43</v>
      </c>
      <c r="L13" s="48">
        <v>20000</v>
      </c>
      <c r="M13" s="55"/>
    </row>
    <row r="14" spans="1:14" ht="15" customHeight="1" x14ac:dyDescent="0.25">
      <c r="A14" s="26"/>
      <c r="C14" s="51"/>
      <c r="D14" s="28"/>
      <c r="F14" s="17"/>
      <c r="G14" s="59">
        <f>G12-G13</f>
        <v>980000</v>
      </c>
      <c r="H14" s="54"/>
      <c r="I14" s="31"/>
      <c r="K14" s="58" t="s">
        <v>44</v>
      </c>
      <c r="L14" s="48">
        <v>24000</v>
      </c>
      <c r="M14" s="55"/>
    </row>
    <row r="15" spans="1:14" ht="15" customHeight="1" x14ac:dyDescent="0.25">
      <c r="A15" s="26"/>
      <c r="B15" s="60" t="s">
        <v>45</v>
      </c>
      <c r="C15" s="45" t="s">
        <v>46</v>
      </c>
      <c r="D15" s="28"/>
      <c r="E15" s="45" t="s">
        <v>47</v>
      </c>
      <c r="F15" s="53">
        <f>G14*0.3</f>
        <v>294000</v>
      </c>
      <c r="H15" s="54"/>
      <c r="I15" s="31"/>
      <c r="K15" s="58" t="s">
        <v>48</v>
      </c>
      <c r="L15" s="48">
        <v>8000</v>
      </c>
      <c r="M15" s="55"/>
    </row>
    <row r="16" spans="1:14" ht="15" customHeight="1" x14ac:dyDescent="0.25">
      <c r="A16" s="26"/>
      <c r="B16" s="27"/>
      <c r="C16" s="45"/>
      <c r="E16" s="45" t="s">
        <v>49</v>
      </c>
      <c r="F16" s="61">
        <f>+L16</f>
        <v>185000</v>
      </c>
      <c r="G16" s="62">
        <f>F15+F16</f>
        <v>479000</v>
      </c>
      <c r="H16" s="54"/>
      <c r="I16" s="31"/>
      <c r="K16" s="48" t="s">
        <v>50</v>
      </c>
      <c r="L16" s="48">
        <v>185000</v>
      </c>
      <c r="M16" s="55"/>
    </row>
    <row r="17" spans="1:14" ht="15" customHeight="1" x14ac:dyDescent="0.25">
      <c r="A17" s="26"/>
      <c r="B17" s="27"/>
      <c r="C17" s="27"/>
      <c r="D17" s="27"/>
      <c r="E17" s="27"/>
      <c r="F17" s="27"/>
      <c r="G17" s="59">
        <f>G14-G16</f>
        <v>501000</v>
      </c>
      <c r="H17" s="54"/>
      <c r="I17" s="31"/>
      <c r="K17" s="48" t="s">
        <v>51</v>
      </c>
      <c r="L17" s="48">
        <v>40000</v>
      </c>
      <c r="M17" s="55"/>
    </row>
    <row r="18" spans="1:14" ht="15" customHeight="1" x14ac:dyDescent="0.25">
      <c r="A18" s="26"/>
      <c r="B18" s="50"/>
      <c r="C18" s="51" t="s">
        <v>52</v>
      </c>
      <c r="D18" s="28"/>
      <c r="E18" s="52" t="s">
        <v>53</v>
      </c>
      <c r="F18" s="17"/>
      <c r="G18" s="63">
        <f>L17*0.7</f>
        <v>28000</v>
      </c>
      <c r="H18" s="54">
        <f>G17+G18</f>
        <v>529000</v>
      </c>
      <c r="I18" s="31"/>
      <c r="K18" s="64"/>
    </row>
    <row r="19" spans="1:14" ht="15" customHeight="1" x14ac:dyDescent="0.25">
      <c r="A19" s="26"/>
      <c r="B19" s="21" t="s">
        <v>54</v>
      </c>
      <c r="H19" s="54"/>
      <c r="I19" s="31"/>
    </row>
    <row r="20" spans="1:14" ht="15" customHeight="1" x14ac:dyDescent="0.25">
      <c r="A20" s="26"/>
      <c r="C20" s="45" t="s">
        <v>55</v>
      </c>
      <c r="H20" s="54"/>
      <c r="I20" s="31"/>
      <c r="J20" s="65">
        <v>301</v>
      </c>
      <c r="K20" s="66" t="s">
        <v>56</v>
      </c>
      <c r="L20" s="66"/>
      <c r="M20" s="66">
        <v>8400000</v>
      </c>
    </row>
    <row r="21" spans="1:14" ht="15" customHeight="1" x14ac:dyDescent="0.25">
      <c r="A21" s="26"/>
      <c r="C21" s="67" t="s">
        <v>57</v>
      </c>
      <c r="H21" s="54"/>
      <c r="I21" s="31"/>
      <c r="J21" s="65"/>
      <c r="K21" s="68" t="s">
        <v>58</v>
      </c>
      <c r="L21" s="68"/>
      <c r="M21" s="68">
        <v>9700000</v>
      </c>
    </row>
    <row r="22" spans="1:14" ht="15" customHeight="1" x14ac:dyDescent="0.25">
      <c r="A22" s="26"/>
      <c r="B22" s="69">
        <v>43966</v>
      </c>
      <c r="C22" s="36" t="s">
        <v>59</v>
      </c>
      <c r="D22" s="70" t="s">
        <v>60</v>
      </c>
      <c r="G22" s="18">
        <f>+M21</f>
        <v>9700000</v>
      </c>
      <c r="H22" s="54"/>
      <c r="I22" s="31"/>
      <c r="J22" s="65"/>
      <c r="K22" s="66" t="s">
        <v>61</v>
      </c>
      <c r="L22" s="66"/>
      <c r="M22" s="66">
        <v>84000</v>
      </c>
    </row>
    <row r="23" spans="1:14" ht="15" customHeight="1" x14ac:dyDescent="0.25">
      <c r="A23" s="26"/>
      <c r="C23" s="36" t="s">
        <v>62</v>
      </c>
      <c r="G23" s="62">
        <f>+M22</f>
        <v>84000</v>
      </c>
      <c r="H23" s="54"/>
      <c r="I23" s="31"/>
      <c r="J23" s="65">
        <v>105</v>
      </c>
      <c r="K23" s="66" t="s">
        <v>63</v>
      </c>
      <c r="L23" s="66"/>
      <c r="M23" s="71">
        <v>70000</v>
      </c>
    </row>
    <row r="24" spans="1:14" ht="15" customHeight="1" x14ac:dyDescent="0.25">
      <c r="A24" s="26"/>
      <c r="B24" s="72"/>
      <c r="C24" s="72"/>
      <c r="D24" s="72"/>
      <c r="E24" s="72"/>
      <c r="G24" s="18">
        <f>G22-G23</f>
        <v>9616000</v>
      </c>
      <c r="H24" s="54"/>
      <c r="I24" s="31"/>
      <c r="J24" s="65"/>
      <c r="K24" s="73" t="s">
        <v>64</v>
      </c>
      <c r="L24" s="66"/>
      <c r="M24" s="66">
        <v>86000</v>
      </c>
      <c r="N24" s="74" t="s">
        <v>65</v>
      </c>
    </row>
    <row r="25" spans="1:14" ht="15" customHeight="1" x14ac:dyDescent="0.25">
      <c r="A25" s="26"/>
      <c r="B25" s="75" t="s">
        <v>66</v>
      </c>
      <c r="C25" s="36" t="s">
        <v>67</v>
      </c>
      <c r="E25" s="76" t="s">
        <v>68</v>
      </c>
      <c r="F25" s="18">
        <f>ROUND(70000*301/105,0)</f>
        <v>200667</v>
      </c>
      <c r="H25" s="54"/>
      <c r="I25" s="31"/>
      <c r="J25" s="77"/>
      <c r="K25" s="73" t="s">
        <v>69</v>
      </c>
      <c r="L25" s="66"/>
      <c r="M25" s="66">
        <v>50000</v>
      </c>
    </row>
    <row r="26" spans="1:14" ht="15" customHeight="1" x14ac:dyDescent="0.25">
      <c r="A26" s="26"/>
      <c r="B26" s="75" t="s">
        <v>70</v>
      </c>
      <c r="C26" s="78" t="s">
        <v>71</v>
      </c>
      <c r="E26" s="76" t="s">
        <v>72</v>
      </c>
      <c r="F26" s="79">
        <f>ROUND(22000*301/137,0)</f>
        <v>48336</v>
      </c>
      <c r="G26" s="62">
        <f>F25+F26</f>
        <v>249003</v>
      </c>
      <c r="H26" s="54"/>
      <c r="I26" s="31"/>
      <c r="J26" s="65">
        <v>137</v>
      </c>
      <c r="K26" s="66" t="s">
        <v>73</v>
      </c>
      <c r="L26" s="66"/>
      <c r="M26" s="71">
        <v>22000</v>
      </c>
    </row>
    <row r="27" spans="1:14" ht="15" customHeight="1" x14ac:dyDescent="0.25">
      <c r="A27" s="26"/>
      <c r="B27" s="75"/>
      <c r="C27" s="36"/>
      <c r="E27" s="45"/>
      <c r="F27" s="80"/>
      <c r="G27" s="18">
        <f>G24-G26</f>
        <v>9366997</v>
      </c>
      <c r="H27" s="54"/>
      <c r="I27" s="31"/>
      <c r="J27" s="77"/>
      <c r="K27" s="66" t="s">
        <v>74</v>
      </c>
      <c r="L27" s="66"/>
      <c r="M27" s="66">
        <v>1800000</v>
      </c>
    </row>
    <row r="28" spans="1:14" ht="15" customHeight="1" x14ac:dyDescent="0.25">
      <c r="A28" s="26"/>
      <c r="B28" s="69">
        <v>43983</v>
      </c>
      <c r="C28" s="36" t="s">
        <v>75</v>
      </c>
      <c r="G28" s="61">
        <f>+M27</f>
        <v>1800000</v>
      </c>
      <c r="H28" s="54"/>
      <c r="I28" s="31"/>
      <c r="J28" s="77"/>
      <c r="K28" s="81" t="s">
        <v>76</v>
      </c>
      <c r="L28" s="66"/>
      <c r="M28" s="66">
        <v>400000</v>
      </c>
    </row>
    <row r="29" spans="1:14" ht="15" customHeight="1" x14ac:dyDescent="0.25">
      <c r="A29" s="26"/>
      <c r="B29" s="75"/>
      <c r="C29" s="36"/>
      <c r="G29" s="18">
        <f>G27-G28</f>
        <v>7566997</v>
      </c>
      <c r="H29" s="54"/>
      <c r="I29" s="31"/>
      <c r="K29" s="82" t="s">
        <v>77</v>
      </c>
      <c r="L29" s="66"/>
      <c r="M29" s="66"/>
    </row>
    <row r="30" spans="1:14" ht="15" customHeight="1" x14ac:dyDescent="0.25">
      <c r="A30" s="26"/>
      <c r="B30" s="69">
        <v>41426</v>
      </c>
      <c r="C30" s="36" t="s">
        <v>78</v>
      </c>
      <c r="G30" s="62">
        <f>+M28</f>
        <v>400000</v>
      </c>
      <c r="H30" s="54">
        <f>G29-G30</f>
        <v>7166997</v>
      </c>
      <c r="I30" s="31"/>
      <c r="K30" s="83" t="s">
        <v>79</v>
      </c>
      <c r="L30" s="66"/>
      <c r="M30" s="66"/>
    </row>
    <row r="31" spans="1:14" ht="15" customHeight="1" x14ac:dyDescent="0.25">
      <c r="A31" s="26"/>
      <c r="B31" s="21" t="s">
        <v>80</v>
      </c>
      <c r="H31" s="54"/>
      <c r="I31" s="31"/>
      <c r="K31" s="18" t="s">
        <v>81</v>
      </c>
      <c r="M31" s="18">
        <v>55000</v>
      </c>
    </row>
    <row r="32" spans="1:14" ht="15" customHeight="1" x14ac:dyDescent="0.25">
      <c r="A32" s="26"/>
      <c r="B32" s="84"/>
      <c r="C32" s="18" t="s">
        <v>81</v>
      </c>
      <c r="D32" s="27"/>
      <c r="E32" s="27"/>
      <c r="F32" s="45"/>
      <c r="G32" s="85">
        <f>+M31</f>
        <v>55000</v>
      </c>
      <c r="H32" s="54"/>
      <c r="I32" s="31"/>
      <c r="K32" s="18" t="s">
        <v>82</v>
      </c>
      <c r="M32" s="18">
        <v>360000</v>
      </c>
    </row>
    <row r="33" spans="1:14" ht="15" customHeight="1" x14ac:dyDescent="0.25">
      <c r="A33" s="26"/>
      <c r="B33" s="84"/>
      <c r="C33" s="18" t="s">
        <v>83</v>
      </c>
      <c r="D33" s="27"/>
      <c r="E33" s="76" t="s">
        <v>84</v>
      </c>
      <c r="F33" s="45"/>
      <c r="G33" s="86">
        <f>360000*100/90</f>
        <v>400000</v>
      </c>
      <c r="H33" s="54"/>
      <c r="I33" s="31"/>
      <c r="K33" s="18" t="s">
        <v>85</v>
      </c>
    </row>
    <row r="34" spans="1:14" ht="15" customHeight="1" x14ac:dyDescent="0.25">
      <c r="A34" s="26"/>
      <c r="B34" s="84"/>
      <c r="C34" s="18" t="s">
        <v>86</v>
      </c>
      <c r="D34" s="27"/>
      <c r="E34" s="27"/>
      <c r="F34" s="45"/>
      <c r="G34" s="86">
        <f>+M34</f>
        <v>81000</v>
      </c>
      <c r="H34" s="54"/>
      <c r="I34" s="31"/>
      <c r="J34" s="76" t="s">
        <v>87</v>
      </c>
      <c r="K34" s="87" t="s">
        <v>88</v>
      </c>
      <c r="L34" s="88" t="s">
        <v>89</v>
      </c>
      <c r="M34" s="77">
        <v>81000</v>
      </c>
      <c r="N34" s="75" t="s">
        <v>90</v>
      </c>
    </row>
    <row r="35" spans="1:14" ht="15" customHeight="1" x14ac:dyDescent="0.25">
      <c r="A35" s="26"/>
      <c r="B35" s="84"/>
      <c r="C35" s="18" t="s">
        <v>91</v>
      </c>
      <c r="G35" s="89">
        <v>70000</v>
      </c>
      <c r="H35" s="54">
        <f>SUM(G32:G35)</f>
        <v>606000</v>
      </c>
      <c r="I35" s="31"/>
      <c r="J35" s="76" t="s">
        <v>92</v>
      </c>
      <c r="K35" s="87" t="s">
        <v>93</v>
      </c>
      <c r="M35" s="77">
        <v>70000</v>
      </c>
      <c r="N35" s="75"/>
    </row>
    <row r="36" spans="1:14" ht="15" customHeight="1" x14ac:dyDescent="0.25">
      <c r="A36" s="26"/>
      <c r="B36" s="84"/>
      <c r="G36" s="90"/>
      <c r="H36" s="54"/>
      <c r="I36" s="91"/>
      <c r="J36" s="76" t="s">
        <v>94</v>
      </c>
      <c r="K36" s="87" t="s">
        <v>95</v>
      </c>
      <c r="M36" s="18">
        <v>20000</v>
      </c>
      <c r="N36" s="92" t="s">
        <v>96</v>
      </c>
    </row>
    <row r="37" spans="1:14" ht="15" customHeight="1" x14ac:dyDescent="0.25">
      <c r="A37" s="26"/>
      <c r="B37" s="21" t="s">
        <v>97</v>
      </c>
      <c r="E37" s="17"/>
      <c r="F37" s="17"/>
      <c r="G37" s="30"/>
      <c r="H37" s="93">
        <f>SUM(H4:H36)</f>
        <v>22857997</v>
      </c>
      <c r="I37" s="94"/>
    </row>
    <row r="38" spans="1:14" ht="15" customHeight="1" x14ac:dyDescent="0.25">
      <c r="A38" s="26"/>
      <c r="B38" s="95" t="s">
        <v>98</v>
      </c>
      <c r="H38" s="54"/>
      <c r="I38" s="31"/>
    </row>
    <row r="39" spans="1:14" ht="15" customHeight="1" x14ac:dyDescent="0.25">
      <c r="A39" s="26"/>
      <c r="B39" s="96"/>
      <c r="C39" s="47" t="s">
        <v>99</v>
      </c>
      <c r="D39" s="18" t="str">
        <f>+K39</f>
        <v>Recognised Prov Fund</v>
      </c>
      <c r="F39" s="18">
        <f>+L39</f>
        <v>110000</v>
      </c>
      <c r="H39" s="54"/>
      <c r="I39" s="31"/>
      <c r="K39" s="97" t="s">
        <v>100</v>
      </c>
      <c r="L39" s="97">
        <v>110000</v>
      </c>
    </row>
    <row r="40" spans="1:14" ht="15" customHeight="1" x14ac:dyDescent="0.25">
      <c r="A40" s="26"/>
      <c r="B40" s="96"/>
      <c r="C40" s="98" t="s">
        <v>101</v>
      </c>
      <c r="D40" s="18" t="str">
        <f>+K40</f>
        <v>Public Prov Fund</v>
      </c>
      <c r="F40" s="18">
        <f>+L40</f>
        <v>30000</v>
      </c>
      <c r="H40" s="54"/>
      <c r="I40" s="31"/>
      <c r="K40" s="97" t="s">
        <v>102</v>
      </c>
      <c r="L40" s="97">
        <v>30000</v>
      </c>
    </row>
    <row r="41" spans="1:14" ht="15" customHeight="1" x14ac:dyDescent="0.25">
      <c r="A41" s="26"/>
      <c r="B41" s="96"/>
      <c r="D41" s="18" t="s">
        <v>103</v>
      </c>
      <c r="F41" s="79">
        <f>+L41</f>
        <v>40000</v>
      </c>
      <c r="G41" s="18">
        <v>150000</v>
      </c>
      <c r="H41" s="54"/>
      <c r="I41" s="31"/>
      <c r="K41" s="97" t="s">
        <v>104</v>
      </c>
      <c r="L41" s="18">
        <v>40000</v>
      </c>
    </row>
    <row r="42" spans="1:14" ht="15" customHeight="1" x14ac:dyDescent="0.25">
      <c r="A42" s="26"/>
      <c r="B42" s="96"/>
      <c r="C42" s="47" t="s">
        <v>105</v>
      </c>
      <c r="F42" s="99"/>
      <c r="G42" s="85">
        <v>40000</v>
      </c>
      <c r="H42" s="54"/>
      <c r="I42" s="31"/>
      <c r="K42" s="97" t="s">
        <v>106</v>
      </c>
      <c r="L42" s="97">
        <v>40000</v>
      </c>
      <c r="M42" s="100"/>
    </row>
    <row r="43" spans="1:14" ht="15" customHeight="1" x14ac:dyDescent="0.25">
      <c r="A43" s="101">
        <f>+I2</f>
        <v>0</v>
      </c>
      <c r="C43" s="47" t="s">
        <v>107</v>
      </c>
      <c r="D43" s="45" t="s">
        <v>108</v>
      </c>
      <c r="E43" s="17"/>
      <c r="F43" s="17"/>
      <c r="G43" s="57">
        <v>10000</v>
      </c>
      <c r="H43" s="54">
        <f>SUM(G39:G43)</f>
        <v>200000</v>
      </c>
      <c r="I43" s="31"/>
      <c r="K43" s="102"/>
    </row>
    <row r="44" spans="1:14" ht="15" customHeight="1" thickBot="1" x14ac:dyDescent="0.3">
      <c r="A44" s="26"/>
      <c r="B44" s="103" t="s">
        <v>109</v>
      </c>
      <c r="E44" s="104">
        <f>IF((H37-H43)&lt;0,0,(H37-H43))</f>
        <v>22657997</v>
      </c>
      <c r="G44" s="105"/>
      <c r="H44" s="106">
        <f>ROUND((E44/10),0)*10+4</f>
        <v>22658004</v>
      </c>
      <c r="I44" s="107"/>
      <c r="K44" s="108" t="s">
        <v>110</v>
      </c>
    </row>
    <row r="45" spans="1:14" ht="15" customHeight="1" thickTop="1" x14ac:dyDescent="0.25">
      <c r="A45" s="26"/>
      <c r="B45" s="99" t="s">
        <v>111</v>
      </c>
      <c r="E45" s="109" t="s">
        <v>112</v>
      </c>
      <c r="F45" s="110" t="s">
        <v>113</v>
      </c>
      <c r="G45" s="109" t="s">
        <v>114</v>
      </c>
      <c r="H45" s="111"/>
      <c r="I45" s="112"/>
      <c r="K45" s="36" t="s">
        <v>115</v>
      </c>
      <c r="L45" s="113">
        <v>0.05</v>
      </c>
      <c r="M45" s="18">
        <f>250000*5%</f>
        <v>12500</v>
      </c>
    </row>
    <row r="46" spans="1:14" ht="15" customHeight="1" x14ac:dyDescent="0.25">
      <c r="A46" s="26"/>
      <c r="B46" s="114" t="s">
        <v>116</v>
      </c>
      <c r="C46" s="45" t="s">
        <v>117</v>
      </c>
      <c r="E46" s="90">
        <f>H44-E47</f>
        <v>15491007</v>
      </c>
      <c r="F46" s="115"/>
      <c r="G46" s="18">
        <f>IF(+I2="Sr",ROUND(IF(E46&gt;1000000,(((E46-1000000)*0.3)+110000),IF(E46&gt;500000,(((E46-500000)*0.2)+10000),IF(E46&gt;300000,((E46-300000)*0.05),0))),0),ROUND(IF(E46&gt;1000000,(((E46-1000000)*0.3)+112500),IF(E46&gt;500000,(((E46-500000)*0.2)+12500),IF(E46&gt;250000,((E46-250000)*0.05),0))),0))</f>
        <v>4459802</v>
      </c>
      <c r="H46" s="111"/>
      <c r="I46" s="112"/>
      <c r="K46" s="36" t="s">
        <v>118</v>
      </c>
      <c r="L46" s="113">
        <v>0.2</v>
      </c>
      <c r="M46" s="18">
        <f>500000*20%</f>
        <v>100000</v>
      </c>
    </row>
    <row r="47" spans="1:14" ht="15" customHeight="1" x14ac:dyDescent="0.25">
      <c r="A47" s="26"/>
      <c r="B47" s="75" t="s">
        <v>119</v>
      </c>
      <c r="C47" s="45" t="s">
        <v>120</v>
      </c>
      <c r="E47" s="86">
        <f>+H30</f>
        <v>7166997</v>
      </c>
      <c r="F47" s="116">
        <v>0.2</v>
      </c>
      <c r="G47" s="57">
        <f>ROUND(E47*F47,0)</f>
        <v>1433399</v>
      </c>
      <c r="H47" s="117"/>
      <c r="I47" s="118"/>
      <c r="K47" s="36" t="s">
        <v>121</v>
      </c>
      <c r="L47" s="113">
        <v>0.3</v>
      </c>
      <c r="M47" s="18">
        <f>ROUND((E46-1000000)*30%,0)</f>
        <v>4347302</v>
      </c>
    </row>
    <row r="48" spans="1:14" ht="15" customHeight="1" thickBot="1" x14ac:dyDescent="0.3">
      <c r="A48" s="26"/>
      <c r="D48" s="115"/>
      <c r="E48" s="17"/>
      <c r="G48" s="119">
        <f>G46+G47</f>
        <v>5893201</v>
      </c>
      <c r="H48" s="120"/>
      <c r="I48" s="121"/>
      <c r="M48" s="122">
        <f>SUM(M45:M47)</f>
        <v>4459802</v>
      </c>
    </row>
    <row r="49" spans="1:14" ht="15" customHeight="1" thickTop="1" x14ac:dyDescent="0.25">
      <c r="A49" s="26"/>
      <c r="B49" s="45" t="s">
        <v>122</v>
      </c>
      <c r="C49" s="45" t="s">
        <v>123</v>
      </c>
      <c r="D49" s="115"/>
      <c r="E49" s="17"/>
      <c r="G49" s="123">
        <f>IF(H44&gt;350000,0,IF(G48&gt;2500,2500,G48))</f>
        <v>0</v>
      </c>
      <c r="H49" s="124">
        <f>G48-G49</f>
        <v>5893201</v>
      </c>
      <c r="I49" s="125"/>
      <c r="K49" s="126" t="s">
        <v>124</v>
      </c>
      <c r="L49" s="127" t="s">
        <v>125</v>
      </c>
      <c r="M49" s="128" t="s">
        <v>126</v>
      </c>
      <c r="N49" s="128" t="s">
        <v>127</v>
      </c>
    </row>
    <row r="50" spans="1:14" ht="15" customHeight="1" x14ac:dyDescent="0.25">
      <c r="A50" s="26"/>
      <c r="B50" s="18" t="s">
        <v>128</v>
      </c>
      <c r="C50" s="45"/>
      <c r="G50" s="129">
        <v>0.25</v>
      </c>
      <c r="H50" s="130">
        <f>ROUND(IF(H44&gt;20000000,H49*25%,IF(H44&gt;5000000,H49*10%,0)),0)</f>
        <v>1473300</v>
      </c>
      <c r="I50" s="131"/>
      <c r="K50" s="132"/>
      <c r="L50" s="132"/>
      <c r="M50" s="132"/>
      <c r="N50" s="133" t="s">
        <v>129</v>
      </c>
    </row>
    <row r="51" spans="1:14" ht="15" customHeight="1" x14ac:dyDescent="0.25">
      <c r="A51" s="26"/>
      <c r="C51" s="45"/>
      <c r="G51" s="119"/>
      <c r="H51" s="124">
        <f>H49+H50</f>
        <v>7366501</v>
      </c>
      <c r="I51" s="125"/>
      <c r="K51" s="128" t="s">
        <v>130</v>
      </c>
      <c r="L51" s="132">
        <v>700000</v>
      </c>
      <c r="M51" s="134"/>
      <c r="N51" s="135">
        <v>8500000</v>
      </c>
    </row>
    <row r="52" spans="1:14" ht="15" customHeight="1" x14ac:dyDescent="0.25">
      <c r="A52" s="26"/>
      <c r="B52" s="45" t="s">
        <v>131</v>
      </c>
      <c r="D52" s="115"/>
      <c r="E52" s="17"/>
      <c r="G52" s="129">
        <v>0.04</v>
      </c>
      <c r="H52" s="130">
        <f>ROUND((H51)*0.04,0)</f>
        <v>294660</v>
      </c>
      <c r="I52" s="131"/>
      <c r="K52" s="128" t="s">
        <v>132</v>
      </c>
      <c r="L52" s="132">
        <v>840000</v>
      </c>
      <c r="M52" s="136">
        <v>7990000</v>
      </c>
      <c r="N52" s="135">
        <v>7141000</v>
      </c>
    </row>
    <row r="53" spans="1:14" ht="15" customHeight="1" x14ac:dyDescent="0.25">
      <c r="A53" s="26"/>
      <c r="B53" s="99" t="s">
        <v>133</v>
      </c>
      <c r="D53" s="115"/>
      <c r="E53" s="137"/>
      <c r="G53" s="17"/>
      <c r="H53" s="120">
        <f>SUM(H51:H52)</f>
        <v>7661161</v>
      </c>
      <c r="I53" s="121"/>
      <c r="K53" s="128" t="s">
        <v>134</v>
      </c>
      <c r="L53" s="138">
        <v>38910</v>
      </c>
      <c r="M53" s="128"/>
      <c r="N53" s="128"/>
    </row>
    <row r="54" spans="1:14" ht="15" customHeight="1" thickBot="1" x14ac:dyDescent="0.35">
      <c r="A54" s="26"/>
      <c r="B54" s="45" t="s">
        <v>135</v>
      </c>
      <c r="D54" s="115"/>
      <c r="E54" s="139" t="s">
        <v>136</v>
      </c>
      <c r="G54" s="140"/>
      <c r="H54" s="120">
        <f>+H98</f>
        <v>384313</v>
      </c>
      <c r="I54" s="121"/>
      <c r="J54" s="32"/>
      <c r="M54" s="141" t="s">
        <v>137</v>
      </c>
      <c r="N54" s="142">
        <f>N51+N52+L53</f>
        <v>15679910</v>
      </c>
    </row>
    <row r="55" spans="1:14" ht="15" customHeight="1" thickTop="1" x14ac:dyDescent="0.25">
      <c r="A55" s="101">
        <f>+A43</f>
        <v>0</v>
      </c>
      <c r="B55" s="45" t="s">
        <v>138</v>
      </c>
      <c r="C55" s="17"/>
      <c r="D55" s="17"/>
      <c r="E55" s="17"/>
      <c r="G55" s="140" t="s">
        <v>139</v>
      </c>
      <c r="H55" s="143"/>
      <c r="I55" s="144"/>
      <c r="J55" s="77" t="s">
        <v>140</v>
      </c>
    </row>
    <row r="56" spans="1:14" ht="15" customHeight="1" x14ac:dyDescent="0.25">
      <c r="A56" s="26"/>
      <c r="B56" s="99" t="s">
        <v>141</v>
      </c>
      <c r="C56" s="17"/>
      <c r="D56" s="17"/>
      <c r="E56" s="17"/>
      <c r="F56" s="17"/>
      <c r="G56" s="17"/>
      <c r="H56" s="54">
        <f>H53+H54+H55</f>
        <v>8045474</v>
      </c>
      <c r="I56" s="31"/>
      <c r="J56" s="76" t="s">
        <v>94</v>
      </c>
      <c r="K56" s="36" t="s">
        <v>142</v>
      </c>
      <c r="L56" s="145"/>
      <c r="M56" s="77"/>
    </row>
    <row r="57" spans="1:14" ht="15" customHeight="1" x14ac:dyDescent="0.25">
      <c r="A57" s="26"/>
      <c r="B57" s="21" t="s">
        <v>143</v>
      </c>
      <c r="C57" s="17"/>
      <c r="D57" s="17"/>
      <c r="E57" s="17"/>
      <c r="F57" s="17"/>
      <c r="G57" s="17"/>
      <c r="H57" s="54"/>
      <c r="I57" s="31"/>
      <c r="J57" s="76" t="s">
        <v>144</v>
      </c>
      <c r="K57" s="36" t="s">
        <v>145</v>
      </c>
      <c r="L57" s="145"/>
      <c r="M57" s="146"/>
    </row>
    <row r="58" spans="1:14" ht="15" customHeight="1" x14ac:dyDescent="0.3">
      <c r="A58" s="26"/>
      <c r="B58" s="72">
        <v>44100</v>
      </c>
      <c r="C58" s="147" t="s">
        <v>146</v>
      </c>
      <c r="D58" s="147"/>
      <c r="E58" s="147"/>
      <c r="F58" s="148"/>
      <c r="G58" s="86">
        <v>40000</v>
      </c>
      <c r="H58" s="54"/>
      <c r="I58" s="31"/>
      <c r="J58" s="76" t="s">
        <v>147</v>
      </c>
      <c r="K58" s="36" t="s">
        <v>148</v>
      </c>
      <c r="L58" s="145"/>
      <c r="M58" s="146"/>
    </row>
    <row r="59" spans="1:14" ht="15" customHeight="1" x14ac:dyDescent="0.3">
      <c r="A59" s="26"/>
      <c r="B59" s="72">
        <v>44364</v>
      </c>
      <c r="C59" s="149" t="s">
        <v>149</v>
      </c>
      <c r="D59" s="149"/>
      <c r="E59" s="149"/>
      <c r="F59" s="148"/>
      <c r="G59" s="86">
        <v>190000</v>
      </c>
      <c r="H59" s="54"/>
      <c r="I59" s="31"/>
      <c r="J59" s="76" t="s">
        <v>87</v>
      </c>
      <c r="K59" s="36" t="s">
        <v>150</v>
      </c>
      <c r="L59" s="145"/>
      <c r="M59" s="146"/>
    </row>
    <row r="60" spans="1:14" ht="15" customHeight="1" x14ac:dyDescent="0.3">
      <c r="A60" s="26"/>
      <c r="B60" s="150"/>
      <c r="C60" s="147" t="s">
        <v>151</v>
      </c>
      <c r="D60" s="147"/>
      <c r="E60" s="148" t="s">
        <v>152</v>
      </c>
      <c r="F60" s="151"/>
      <c r="G60" s="86">
        <v>4930280</v>
      </c>
      <c r="H60" s="54"/>
      <c r="I60" s="31"/>
      <c r="J60" s="76" t="s">
        <v>92</v>
      </c>
      <c r="K60" s="36" t="s">
        <v>153</v>
      </c>
      <c r="L60" s="145"/>
      <c r="M60" s="90"/>
    </row>
    <row r="61" spans="1:14" ht="15" customHeight="1" x14ac:dyDescent="0.3">
      <c r="A61" s="26"/>
      <c r="B61" s="150"/>
      <c r="C61" s="147" t="s">
        <v>154</v>
      </c>
      <c r="D61" s="147"/>
      <c r="E61" s="148" t="s">
        <v>155</v>
      </c>
      <c r="F61" s="151"/>
      <c r="G61" s="86">
        <v>100000</v>
      </c>
      <c r="H61" s="54"/>
      <c r="I61" s="31"/>
      <c r="K61" s="77" t="s">
        <v>156</v>
      </c>
    </row>
    <row r="62" spans="1:14" ht="15" customHeight="1" x14ac:dyDescent="0.3">
      <c r="A62" s="26"/>
      <c r="B62" s="150"/>
      <c r="C62" s="147" t="s">
        <v>157</v>
      </c>
      <c r="D62" s="147"/>
      <c r="E62" s="148" t="s">
        <v>158</v>
      </c>
      <c r="F62" s="151"/>
      <c r="G62" s="86">
        <v>40000</v>
      </c>
      <c r="H62" s="54"/>
      <c r="I62" s="31"/>
      <c r="K62" s="18" t="s">
        <v>159</v>
      </c>
      <c r="L62" s="90">
        <f>+H10</f>
        <v>14556000</v>
      </c>
    </row>
    <row r="63" spans="1:14" ht="15" customHeight="1" x14ac:dyDescent="0.25">
      <c r="A63" s="26"/>
      <c r="H63" s="54">
        <f>SUM(G58:G62)</f>
        <v>5300280</v>
      </c>
      <c r="I63" s="31"/>
      <c r="K63" s="27" t="s">
        <v>160</v>
      </c>
      <c r="L63" s="79">
        <f>+G41+G42</f>
        <v>190000</v>
      </c>
      <c r="M63" s="30">
        <f>L62-L63</f>
        <v>14366000</v>
      </c>
    </row>
    <row r="64" spans="1:14" ht="15" customHeight="1" thickBot="1" x14ac:dyDescent="0.3">
      <c r="A64" s="152"/>
      <c r="B64" s="153" t="str">
        <f>IF(H64=0,"TAX  PAYABLE / REFUND ",IF(H64&lt;0,"REFUND","TAX  PAYABLE including Interest"))</f>
        <v>TAX  PAYABLE including Interest</v>
      </c>
      <c r="C64" s="154"/>
      <c r="D64" s="155"/>
      <c r="E64" s="155"/>
      <c r="F64" s="156" t="s">
        <v>161</v>
      </c>
      <c r="G64" s="157"/>
      <c r="H64" s="158">
        <f>ROUND((H56-H63)/10,0)*10</f>
        <v>2745190</v>
      </c>
      <c r="I64" s="159"/>
      <c r="K64" s="160" t="s">
        <v>162</v>
      </c>
      <c r="M64" s="18">
        <f>112500+(M63-1000000)*0.3</f>
        <v>4122300</v>
      </c>
    </row>
    <row r="65" spans="1:13" ht="15" customHeight="1" x14ac:dyDescent="0.25">
      <c r="A65" s="161" t="s">
        <v>163</v>
      </c>
      <c r="B65" s="162"/>
      <c r="C65" s="162"/>
      <c r="D65" s="162"/>
      <c r="E65" s="162"/>
      <c r="F65" s="162"/>
      <c r="G65" s="162"/>
      <c r="H65" s="162"/>
      <c r="I65" s="163"/>
      <c r="K65" s="160" t="s">
        <v>164</v>
      </c>
      <c r="L65" s="113">
        <v>0.15</v>
      </c>
      <c r="M65" s="18">
        <f>ROUND(M64*0.15,0)</f>
        <v>618345</v>
      </c>
    </row>
    <row r="66" spans="1:13" ht="15" customHeight="1" thickBot="1" x14ac:dyDescent="0.3">
      <c r="A66" s="164">
        <v>44485</v>
      </c>
      <c r="B66" s="165"/>
      <c r="C66" s="166" t="s">
        <v>165</v>
      </c>
      <c r="D66" s="167"/>
      <c r="E66" s="168" t="s">
        <v>166</v>
      </c>
      <c r="F66" s="169" t="s">
        <v>167</v>
      </c>
      <c r="G66" s="169"/>
      <c r="H66" s="169"/>
      <c r="I66" s="170"/>
      <c r="K66" s="160" t="s">
        <v>168</v>
      </c>
      <c r="L66" s="113">
        <v>0.04</v>
      </c>
      <c r="M66" s="18">
        <f>ROUND((M65+M64)*0.04,0)</f>
        <v>189626</v>
      </c>
    </row>
    <row r="67" spans="1:13" ht="15" customHeight="1" thickBot="1" x14ac:dyDescent="0.3">
      <c r="A67" s="171"/>
      <c r="B67" s="172"/>
      <c r="C67" s="172"/>
      <c r="D67" s="172"/>
      <c r="E67" s="172"/>
      <c r="F67" s="172"/>
      <c r="G67" s="172"/>
      <c r="H67" s="172"/>
      <c r="I67" s="172"/>
      <c r="M67" s="173">
        <f>SUM(M64:M66)</f>
        <v>4930271</v>
      </c>
    </row>
    <row r="68" spans="1:13" ht="15" customHeight="1" thickTop="1" x14ac:dyDescent="0.25">
      <c r="A68" s="171"/>
      <c r="B68" s="18" t="s">
        <v>169</v>
      </c>
      <c r="C68" s="172"/>
      <c r="D68" s="172" t="s">
        <v>170</v>
      </c>
      <c r="E68" s="172" t="s">
        <v>171</v>
      </c>
      <c r="F68" s="45" t="s">
        <v>172</v>
      </c>
      <c r="G68" s="172"/>
      <c r="H68" s="174" t="s">
        <v>90</v>
      </c>
      <c r="I68" s="172"/>
      <c r="K68" s="175" t="s">
        <v>173</v>
      </c>
      <c r="M68" s="145"/>
    </row>
    <row r="69" spans="1:13" ht="15" customHeight="1" x14ac:dyDescent="0.25">
      <c r="A69" s="176"/>
      <c r="B69" s="77" t="s">
        <v>174</v>
      </c>
      <c r="C69" s="177"/>
      <c r="D69" s="177" t="s">
        <v>175</v>
      </c>
      <c r="E69" s="177" t="s">
        <v>176</v>
      </c>
      <c r="F69" s="177" t="s">
        <v>177</v>
      </c>
      <c r="G69" s="177" t="s">
        <v>178</v>
      </c>
      <c r="H69" s="178" t="s">
        <v>179</v>
      </c>
      <c r="I69" s="172"/>
      <c r="K69" s="18" t="s">
        <v>7</v>
      </c>
      <c r="L69" s="17" t="s">
        <v>180</v>
      </c>
      <c r="M69" s="145"/>
    </row>
    <row r="70" spans="1:13" ht="15" customHeight="1" x14ac:dyDescent="0.25">
      <c r="A70" s="171"/>
      <c r="B70" s="18" t="s">
        <v>181</v>
      </c>
      <c r="C70" s="172"/>
      <c r="D70" s="172" t="s">
        <v>182</v>
      </c>
      <c r="E70" s="172" t="s">
        <v>176</v>
      </c>
      <c r="F70" s="172" t="s">
        <v>177</v>
      </c>
      <c r="G70" s="172" t="s">
        <v>178</v>
      </c>
      <c r="H70" s="174" t="s">
        <v>179</v>
      </c>
      <c r="I70" s="172"/>
      <c r="K70" s="179" t="s">
        <v>183</v>
      </c>
      <c r="L70" s="17"/>
    </row>
    <row r="71" spans="1:13" ht="15" customHeight="1" x14ac:dyDescent="0.25">
      <c r="C71" s="181"/>
      <c r="D71" s="182"/>
      <c r="E71" s="182"/>
      <c r="F71" s="182"/>
      <c r="K71" s="18" t="s">
        <v>184</v>
      </c>
      <c r="L71" s="183"/>
    </row>
    <row r="72" spans="1:13" ht="15" customHeight="1" x14ac:dyDescent="0.25">
      <c r="C72" s="184"/>
      <c r="D72" s="185"/>
      <c r="E72" s="185"/>
      <c r="F72" s="186" t="s">
        <v>185</v>
      </c>
      <c r="G72" s="187"/>
      <c r="H72" s="187"/>
      <c r="K72" s="18" t="s">
        <v>186</v>
      </c>
      <c r="L72" s="183"/>
    </row>
    <row r="73" spans="1:13" ht="15" customHeight="1" x14ac:dyDescent="0.25">
      <c r="F73" s="188" t="s">
        <v>187</v>
      </c>
      <c r="G73" s="188"/>
      <c r="H73" s="189">
        <f>+G7-M4</f>
        <v>14644000</v>
      </c>
      <c r="K73" s="18" t="s">
        <v>188</v>
      </c>
      <c r="L73" s="190">
        <v>44408</v>
      </c>
    </row>
    <row r="74" spans="1:13" ht="15" customHeight="1" x14ac:dyDescent="0.25">
      <c r="F74" s="191" t="s">
        <v>189</v>
      </c>
      <c r="G74" s="191"/>
      <c r="H74" s="90">
        <f>+H18</f>
        <v>529000</v>
      </c>
      <c r="K74" s="179" t="s">
        <v>190</v>
      </c>
      <c r="L74" s="145"/>
    </row>
    <row r="75" spans="1:13" ht="15" customHeight="1" x14ac:dyDescent="0.25">
      <c r="F75" s="191" t="s">
        <v>191</v>
      </c>
      <c r="G75" s="191"/>
      <c r="H75" s="90">
        <f>+H30</f>
        <v>7166997</v>
      </c>
      <c r="K75" s="36" t="s">
        <v>192</v>
      </c>
      <c r="L75" s="145"/>
    </row>
    <row r="76" spans="1:13" ht="15" customHeight="1" x14ac:dyDescent="0.25">
      <c r="F76" s="79" t="s">
        <v>193</v>
      </c>
      <c r="G76" s="79"/>
      <c r="H76" s="192">
        <f>+H35</f>
        <v>606000</v>
      </c>
      <c r="K76" s="36" t="s">
        <v>194</v>
      </c>
    </row>
    <row r="77" spans="1:13" ht="15" customHeight="1" thickBot="1" x14ac:dyDescent="0.3">
      <c r="F77" s="193"/>
      <c r="G77" s="194" t="s">
        <v>195</v>
      </c>
      <c r="H77" s="195">
        <f>SUM(H73:H76)</f>
        <v>22945997</v>
      </c>
      <c r="K77" s="179" t="s">
        <v>196</v>
      </c>
    </row>
    <row r="78" spans="1:13" ht="15" customHeight="1" thickTop="1" x14ac:dyDescent="0.25">
      <c r="K78" s="36" t="s">
        <v>197</v>
      </c>
    </row>
    <row r="79" spans="1:13" ht="15" customHeight="1" x14ac:dyDescent="0.25">
      <c r="G79" s="28" t="s">
        <v>162</v>
      </c>
      <c r="H79" s="90">
        <f>ROUND(IF(H77&gt;1500000,(H77-1500000)*30%+187500,IF(H77&gt;1250000,(H77-1250000)*25%+125000,IF(H77&gt;1000000,(H77-1000000)*20%+75000,IF(H77&gt;750000,(H77-750000)*15%+37500,IF(H77&gt;500000,(H77-500000)*10%+12500, IF(H77&gt;250000,(H77-250000)*5%,0))))))-(H75*10%),0)</f>
        <v>5904599</v>
      </c>
      <c r="K79" s="36" t="s">
        <v>198</v>
      </c>
    </row>
    <row r="80" spans="1:13" ht="15" customHeight="1" x14ac:dyDescent="0.25">
      <c r="G80" s="196" t="s">
        <v>199</v>
      </c>
      <c r="H80" s="79">
        <f>ROUND(H79*0.25,0)</f>
        <v>1476150</v>
      </c>
      <c r="K80" s="36" t="s">
        <v>200</v>
      </c>
    </row>
    <row r="81" spans="4:13" ht="15" customHeight="1" x14ac:dyDescent="0.25">
      <c r="H81" s="90">
        <f>H79+H80</f>
        <v>7380749</v>
      </c>
      <c r="K81" s="197" t="s">
        <v>201</v>
      </c>
    </row>
    <row r="82" spans="4:13" ht="15" customHeight="1" x14ac:dyDescent="0.25">
      <c r="G82" s="28" t="s">
        <v>168</v>
      </c>
      <c r="H82" s="18">
        <f>ROUND(H81*4%,0)</f>
        <v>295230</v>
      </c>
      <c r="K82" s="179" t="s">
        <v>202</v>
      </c>
      <c r="L82" s="76">
        <v>289</v>
      </c>
    </row>
    <row r="83" spans="4:13" ht="15" customHeight="1" thickBot="1" x14ac:dyDescent="0.3">
      <c r="F83" s="193"/>
      <c r="G83" s="198" t="s">
        <v>203</v>
      </c>
      <c r="H83" s="199">
        <f>SUM(H81:H82)</f>
        <v>7675979</v>
      </c>
      <c r="K83" s="36" t="s">
        <v>204</v>
      </c>
      <c r="L83" s="76"/>
      <c r="M83" s="45" t="s">
        <v>205</v>
      </c>
    </row>
    <row r="84" spans="4:13" ht="15" customHeight="1" thickTop="1" thickBot="1" x14ac:dyDescent="0.3">
      <c r="K84" s="36" t="s">
        <v>206</v>
      </c>
      <c r="L84" s="76">
        <v>105</v>
      </c>
    </row>
    <row r="85" spans="4:13" ht="15" customHeight="1" x14ac:dyDescent="0.25">
      <c r="D85" s="200" t="s">
        <v>185</v>
      </c>
      <c r="E85" s="201"/>
      <c r="F85" s="202"/>
      <c r="G85" s="203"/>
      <c r="K85" s="36" t="s">
        <v>207</v>
      </c>
      <c r="L85" s="76">
        <v>137</v>
      </c>
    </row>
    <row r="86" spans="4:13" ht="15" customHeight="1" x14ac:dyDescent="0.25">
      <c r="D86" s="204" t="s">
        <v>208</v>
      </c>
      <c r="E86" s="55"/>
      <c r="F86" s="205" t="s">
        <v>209</v>
      </c>
      <c r="G86" s="203"/>
      <c r="K86" s="197" t="s">
        <v>210</v>
      </c>
      <c r="L86" s="76"/>
    </row>
    <row r="87" spans="4:13" ht="15" customHeight="1" x14ac:dyDescent="0.25">
      <c r="D87" s="204" t="s">
        <v>211</v>
      </c>
      <c r="E87" s="55"/>
      <c r="F87" s="206">
        <v>0.05</v>
      </c>
      <c r="K87" s="36" t="s">
        <v>212</v>
      </c>
      <c r="L87" s="207"/>
    </row>
    <row r="88" spans="4:13" ht="15" customHeight="1" x14ac:dyDescent="0.25">
      <c r="D88" s="204" t="s">
        <v>213</v>
      </c>
      <c r="E88" s="55"/>
      <c r="F88" s="206">
        <v>0.1</v>
      </c>
      <c r="K88" s="197" t="s">
        <v>214</v>
      </c>
      <c r="L88" s="208">
        <v>41426</v>
      </c>
    </row>
    <row r="89" spans="4:13" ht="15" customHeight="1" x14ac:dyDescent="0.25">
      <c r="D89" s="204" t="s">
        <v>215</v>
      </c>
      <c r="E89" s="55"/>
      <c r="F89" s="206">
        <v>0.15</v>
      </c>
      <c r="K89" s="179" t="s">
        <v>193</v>
      </c>
      <c r="L89" s="17"/>
    </row>
    <row r="90" spans="4:13" ht="15" customHeight="1" x14ac:dyDescent="0.25">
      <c r="D90" s="204" t="s">
        <v>216</v>
      </c>
      <c r="E90" s="55"/>
      <c r="F90" s="206">
        <v>0.2</v>
      </c>
      <c r="K90" s="36" t="s">
        <v>217</v>
      </c>
      <c r="L90" s="17"/>
    </row>
    <row r="91" spans="4:13" ht="15" customHeight="1" x14ac:dyDescent="0.25">
      <c r="D91" s="204" t="s">
        <v>218</v>
      </c>
      <c r="E91" s="55"/>
      <c r="F91" s="206">
        <v>0.25</v>
      </c>
      <c r="K91" s="36" t="s">
        <v>219</v>
      </c>
      <c r="L91" s="17"/>
    </row>
    <row r="92" spans="4:13" ht="15" customHeight="1" x14ac:dyDescent="0.25">
      <c r="D92" s="204" t="s">
        <v>220</v>
      </c>
      <c r="E92" s="55"/>
      <c r="F92" s="206">
        <v>0.3</v>
      </c>
      <c r="K92" s="87" t="s">
        <v>221</v>
      </c>
      <c r="L92" s="17">
        <v>20000</v>
      </c>
      <c r="M92" s="209" t="s">
        <v>222</v>
      </c>
    </row>
    <row r="93" spans="4:13" ht="15" customHeight="1" x14ac:dyDescent="0.25">
      <c r="D93" s="210" t="s">
        <v>223</v>
      </c>
      <c r="E93" s="211"/>
      <c r="F93" s="212"/>
      <c r="G93" s="213" t="s">
        <v>224</v>
      </c>
      <c r="H93" s="51" t="s">
        <v>225</v>
      </c>
      <c r="K93" s="214" t="s">
        <v>226</v>
      </c>
      <c r="L93" s="17">
        <v>81000</v>
      </c>
      <c r="M93" s="209" t="s">
        <v>227</v>
      </c>
    </row>
    <row r="94" spans="4:13" ht="15" customHeight="1" x14ac:dyDescent="0.25">
      <c r="D94" s="215" t="s">
        <v>228</v>
      </c>
      <c r="E94" s="216"/>
      <c r="F94" s="217"/>
      <c r="G94" s="213" t="s">
        <v>229</v>
      </c>
      <c r="H94" s="218" t="s">
        <v>230</v>
      </c>
      <c r="K94" s="214" t="s">
        <v>231</v>
      </c>
      <c r="L94" s="17">
        <v>70000</v>
      </c>
      <c r="M94" s="219" t="s">
        <v>232</v>
      </c>
    </row>
    <row r="95" spans="4:13" ht="15" customHeight="1" x14ac:dyDescent="0.25">
      <c r="D95" s="210" t="s">
        <v>233</v>
      </c>
      <c r="E95" s="211"/>
      <c r="F95" s="212"/>
      <c r="G95" s="220" t="s">
        <v>234</v>
      </c>
      <c r="H95" s="218" t="s">
        <v>235</v>
      </c>
      <c r="K95" s="179" t="s">
        <v>236</v>
      </c>
      <c r="L95" s="36" t="s">
        <v>237</v>
      </c>
    </row>
    <row r="96" spans="4:13" ht="15" customHeight="1" thickBot="1" x14ac:dyDescent="0.3">
      <c r="D96" s="221" t="s">
        <v>238</v>
      </c>
      <c r="E96" s="222"/>
      <c r="F96" s="223"/>
      <c r="G96" s="220" t="s">
        <v>239</v>
      </c>
      <c r="H96" s="218" t="s">
        <v>240</v>
      </c>
      <c r="J96" s="179" t="s">
        <v>241</v>
      </c>
      <c r="K96" s="36" t="s">
        <v>242</v>
      </c>
    </row>
    <row r="97" spans="1:13" ht="15" customHeight="1" x14ac:dyDescent="0.25">
      <c r="K97" s="36" t="s">
        <v>243</v>
      </c>
    </row>
    <row r="98" spans="1:13" ht="15" customHeight="1" x14ac:dyDescent="0.25">
      <c r="B98" s="224" t="s">
        <v>244</v>
      </c>
      <c r="C98" s="225"/>
      <c r="D98" s="225"/>
      <c r="E98" s="225"/>
      <c r="F98" s="225"/>
      <c r="G98" s="226" t="s">
        <v>245</v>
      </c>
      <c r="H98" s="227">
        <f>H110+H122+H132</f>
        <v>384313</v>
      </c>
      <c r="K98" s="179" t="s">
        <v>246</v>
      </c>
    </row>
    <row r="99" spans="1:13" ht="15" customHeight="1" x14ac:dyDescent="0.25">
      <c r="B99" s="228" t="s">
        <v>247</v>
      </c>
      <c r="C99" s="145"/>
      <c r="D99" s="145"/>
      <c r="E99" s="145"/>
      <c r="F99" s="145"/>
      <c r="G99" s="64"/>
      <c r="H99" s="229"/>
      <c r="K99" s="36" t="s">
        <v>248</v>
      </c>
    </row>
    <row r="100" spans="1:13" ht="15" customHeight="1" x14ac:dyDescent="0.25">
      <c r="B100" s="56" t="s">
        <v>249</v>
      </c>
      <c r="C100" s="145"/>
      <c r="D100" s="145"/>
      <c r="E100" s="90">
        <f>+H53</f>
        <v>7661161</v>
      </c>
      <c r="G100" s="189"/>
      <c r="K100" s="36" t="s">
        <v>250</v>
      </c>
      <c r="M100" s="36" t="s">
        <v>251</v>
      </c>
    </row>
    <row r="101" spans="1:13" ht="15" customHeight="1" x14ac:dyDescent="0.25">
      <c r="B101" s="56" t="s">
        <v>252</v>
      </c>
      <c r="C101" s="145"/>
      <c r="D101" s="145"/>
      <c r="E101" s="90">
        <f>(+G60+G61+G62)/-1</f>
        <v>-5070280</v>
      </c>
      <c r="G101" s="189"/>
    </row>
    <row r="102" spans="1:13" ht="15" customHeight="1" thickBot="1" x14ac:dyDescent="0.3">
      <c r="B102" s="56" t="s">
        <v>253</v>
      </c>
      <c r="C102" s="145"/>
      <c r="D102" s="145"/>
      <c r="E102" s="193">
        <f>SUM(E100:E101)</f>
        <v>2590881</v>
      </c>
      <c r="G102" s="189"/>
    </row>
    <row r="103" spans="1:13" ht="15" customHeight="1" thickTop="1" x14ac:dyDescent="0.25">
      <c r="C103" s="145"/>
      <c r="D103" s="145"/>
      <c r="E103" s="18">
        <f>+E102</f>
        <v>2590881</v>
      </c>
      <c r="G103" s="230">
        <f>IF(G102&gt;10000,G102,0)</f>
        <v>0</v>
      </c>
    </row>
    <row r="104" spans="1:13" ht="19.8" customHeight="1" x14ac:dyDescent="0.25">
      <c r="B104" s="231" t="s">
        <v>254</v>
      </c>
      <c r="C104" s="232" t="s">
        <v>255</v>
      </c>
      <c r="D104" s="232" t="s">
        <v>256</v>
      </c>
      <c r="E104" s="232" t="s">
        <v>257</v>
      </c>
      <c r="F104" s="233" t="s">
        <v>258</v>
      </c>
      <c r="G104" s="234" t="s">
        <v>259</v>
      </c>
      <c r="H104" s="232" t="s">
        <v>260</v>
      </c>
    </row>
    <row r="105" spans="1:13" ht="15" customHeight="1" x14ac:dyDescent="0.25">
      <c r="A105" s="235">
        <v>1</v>
      </c>
      <c r="B105" s="236"/>
      <c r="C105" s="237"/>
      <c r="D105" s="236">
        <v>43997</v>
      </c>
      <c r="E105" s="189">
        <f>E103*0.15</f>
        <v>388632.14999999997</v>
      </c>
      <c r="F105" s="189">
        <f>ROUNDDOWN(+E105,-2)</f>
        <v>388600</v>
      </c>
      <c r="G105" s="189">
        <f>(F105-C105)</f>
        <v>388600</v>
      </c>
      <c r="H105" s="238">
        <f>IF(G105&gt;0,G105*0.12/12*3,0)</f>
        <v>11658</v>
      </c>
      <c r="I105" s="239" t="s">
        <v>261</v>
      </c>
      <c r="J105" s="239"/>
      <c r="K105" s="240" t="s">
        <v>262</v>
      </c>
    </row>
    <row r="106" spans="1:13" ht="15" customHeight="1" x14ac:dyDescent="0.25">
      <c r="A106" s="235">
        <v>2</v>
      </c>
      <c r="C106" s="237">
        <f>+G71</f>
        <v>0</v>
      </c>
      <c r="D106" s="236">
        <v>44089</v>
      </c>
      <c r="E106" s="189">
        <f>E103*0.45</f>
        <v>1165896.45</v>
      </c>
      <c r="F106" s="189">
        <f>ROUNDDOWN(+E106,-2)</f>
        <v>1165800</v>
      </c>
      <c r="G106" s="189">
        <f>(F106-C106-C105)</f>
        <v>1165800</v>
      </c>
      <c r="H106" s="238">
        <f>IF(G106&gt;0,G106*0.12/12*3,0)</f>
        <v>34974</v>
      </c>
      <c r="J106" s="241" t="s">
        <v>263</v>
      </c>
      <c r="K106" s="242">
        <f>+H110</f>
        <v>129233</v>
      </c>
    </row>
    <row r="107" spans="1:13" ht="15" customHeight="1" x14ac:dyDescent="0.25">
      <c r="A107" s="235">
        <v>3</v>
      </c>
      <c r="B107" s="236">
        <v>44100</v>
      </c>
      <c r="C107" s="237">
        <f>+G58</f>
        <v>40000</v>
      </c>
      <c r="D107" s="236">
        <v>44180</v>
      </c>
      <c r="E107" s="189">
        <f>E103*0.75</f>
        <v>1943160.75</v>
      </c>
      <c r="F107" s="189">
        <f>ROUNDDOWN(+E107,-2)</f>
        <v>1943100</v>
      </c>
      <c r="G107" s="189">
        <f>(F107-(C105+C106+C107))</f>
        <v>1903100</v>
      </c>
      <c r="H107" s="238">
        <f>IF(G107&gt;0,G107*0.12/12*3,0)</f>
        <v>57093</v>
      </c>
      <c r="J107" s="241" t="s">
        <v>264</v>
      </c>
      <c r="K107" s="242">
        <f>+K106</f>
        <v>129233</v>
      </c>
    </row>
    <row r="108" spans="1:13" ht="15" customHeight="1" x14ac:dyDescent="0.25">
      <c r="A108" s="235">
        <v>4</v>
      </c>
      <c r="B108" s="236"/>
      <c r="C108" s="237"/>
      <c r="D108" s="236">
        <v>44270</v>
      </c>
      <c r="E108" s="189">
        <f>E103*1</f>
        <v>2590881</v>
      </c>
      <c r="F108" s="189">
        <f>ROUNDDOWN(+E108,-2)</f>
        <v>2590800</v>
      </c>
      <c r="G108" s="189">
        <f>(F108-(C105+C106+C107+C108))</f>
        <v>2550800</v>
      </c>
      <c r="H108" s="238">
        <f>IF(G108&gt;0,G108*0.12/12,0)</f>
        <v>25508</v>
      </c>
      <c r="J108" s="241" t="s">
        <v>265</v>
      </c>
      <c r="K108" s="242">
        <f>+K106</f>
        <v>129233</v>
      </c>
    </row>
    <row r="109" spans="1:13" ht="15" customHeight="1" x14ac:dyDescent="0.25">
      <c r="A109" s="235">
        <v>5</v>
      </c>
      <c r="B109" s="236"/>
      <c r="C109" s="237"/>
      <c r="D109" s="236">
        <v>44286</v>
      </c>
      <c r="F109" s="243"/>
      <c r="G109" s="243"/>
      <c r="H109" s="90"/>
    </row>
    <row r="110" spans="1:13" ht="15" customHeight="1" thickBot="1" x14ac:dyDescent="0.3">
      <c r="B110" s="145"/>
      <c r="C110" s="244">
        <f>SUM(C105:C109)</f>
        <v>40000</v>
      </c>
      <c r="D110" s="145"/>
      <c r="E110" s="145"/>
      <c r="F110" s="145"/>
      <c r="G110" s="145"/>
      <c r="H110" s="245">
        <f>SUM(H105:H109)</f>
        <v>129233</v>
      </c>
      <c r="J110" s="17"/>
    </row>
    <row r="111" spans="1:13" ht="15" customHeight="1" thickTop="1" thickBot="1" x14ac:dyDescent="0.3">
      <c r="A111" s="246"/>
      <c r="B111" s="247"/>
      <c r="C111" s="248"/>
      <c r="D111" s="247"/>
      <c r="E111" s="247"/>
      <c r="F111" s="247"/>
      <c r="G111" s="247"/>
      <c r="H111" s="247"/>
      <c r="J111" s="17"/>
    </row>
    <row r="112" spans="1:13" ht="15" customHeight="1" x14ac:dyDescent="0.25">
      <c r="B112" s="228" t="s">
        <v>266</v>
      </c>
      <c r="C112" s="249"/>
      <c r="D112" s="145"/>
      <c r="E112" s="145"/>
      <c r="F112" s="145"/>
      <c r="G112" s="145"/>
      <c r="H112" s="183" t="s">
        <v>260</v>
      </c>
      <c r="J112" s="17"/>
    </row>
    <row r="113" spans="1:11" ht="15" customHeight="1" x14ac:dyDescent="0.25">
      <c r="B113" s="56" t="s">
        <v>249</v>
      </c>
      <c r="C113" s="145"/>
      <c r="D113" s="145"/>
      <c r="E113" s="189">
        <f>+E100</f>
        <v>7661161</v>
      </c>
      <c r="F113" s="145"/>
      <c r="G113" s="250">
        <v>44287</v>
      </c>
      <c r="H113" s="238">
        <f>F119*0.01</f>
        <v>25508</v>
      </c>
      <c r="J113" s="17"/>
    </row>
    <row r="114" spans="1:11" ht="15" customHeight="1" x14ac:dyDescent="0.25">
      <c r="B114" s="251" t="s">
        <v>252</v>
      </c>
      <c r="C114" s="145"/>
      <c r="D114" s="145"/>
      <c r="E114" s="189">
        <f>+E101</f>
        <v>-5070280</v>
      </c>
      <c r="F114" s="145"/>
      <c r="G114" s="250">
        <v>44317</v>
      </c>
      <c r="H114" s="238">
        <f>+H113</f>
        <v>25508</v>
      </c>
      <c r="J114" s="17"/>
    </row>
    <row r="115" spans="1:11" ht="15" customHeight="1" thickBot="1" x14ac:dyDescent="0.3">
      <c r="B115" s="251"/>
      <c r="C115" s="145"/>
      <c r="D115" s="145"/>
      <c r="E115" s="252">
        <f>E113+E114</f>
        <v>2590881</v>
      </c>
      <c r="G115" s="250">
        <v>44348</v>
      </c>
      <c r="H115" s="238">
        <f>+H114</f>
        <v>25508</v>
      </c>
      <c r="J115" s="17"/>
    </row>
    <row r="116" spans="1:11" ht="15" customHeight="1" thickTop="1" x14ac:dyDescent="0.25">
      <c r="F116" s="145"/>
      <c r="G116" s="250">
        <v>44378</v>
      </c>
      <c r="H116" s="238">
        <f>F123*0.01</f>
        <v>25508</v>
      </c>
      <c r="J116" s="17"/>
    </row>
    <row r="117" spans="1:11" ht="15" customHeight="1" x14ac:dyDescent="0.25">
      <c r="B117" s="145" t="s">
        <v>267</v>
      </c>
      <c r="C117" s="249"/>
      <c r="D117" s="253">
        <v>0.9</v>
      </c>
      <c r="E117" s="254">
        <f>ROUND(E115*90%,0)</f>
        <v>2331793</v>
      </c>
      <c r="F117" s="145"/>
      <c r="G117" s="250">
        <v>44409</v>
      </c>
      <c r="H117" s="238">
        <f>+H116</f>
        <v>25508</v>
      </c>
      <c r="J117" s="17"/>
    </row>
    <row r="118" spans="1:11" ht="15" customHeight="1" x14ac:dyDescent="0.25">
      <c r="B118" s="145" t="s">
        <v>268</v>
      </c>
      <c r="C118" s="249"/>
      <c r="D118" s="145"/>
      <c r="E118" s="189">
        <f>ROUND(+C110,0)</f>
        <v>40000</v>
      </c>
      <c r="F118" s="145"/>
      <c r="G118" s="250">
        <v>44440</v>
      </c>
      <c r="H118" s="255">
        <f>+H117</f>
        <v>25508</v>
      </c>
      <c r="I118" s="256" t="s">
        <v>261</v>
      </c>
      <c r="J118" s="256"/>
      <c r="K118" s="257" t="s">
        <v>269</v>
      </c>
    </row>
    <row r="119" spans="1:11" ht="15" customHeight="1" x14ac:dyDescent="0.25">
      <c r="B119" s="18" t="s">
        <v>270</v>
      </c>
      <c r="C119" s="249"/>
      <c r="D119" s="145"/>
      <c r="E119" s="189">
        <f>E115-E118</f>
        <v>2550881</v>
      </c>
      <c r="F119" s="189">
        <f>ROUNDDOWN(E119,-2)</f>
        <v>2550800</v>
      </c>
      <c r="G119" s="250">
        <v>44470</v>
      </c>
      <c r="H119" s="255">
        <f>+H118</f>
        <v>25508</v>
      </c>
      <c r="J119" s="77" t="s">
        <v>263</v>
      </c>
      <c r="K119" s="258">
        <f>SUM(H113:H119)</f>
        <v>178556</v>
      </c>
    </row>
    <row r="120" spans="1:11" ht="15" customHeight="1" x14ac:dyDescent="0.25">
      <c r="B120" s="259">
        <f>+B59</f>
        <v>44364</v>
      </c>
      <c r="C120" s="145" t="s">
        <v>271</v>
      </c>
      <c r="D120" s="145"/>
      <c r="E120" s="260">
        <f>+G59</f>
        <v>190000</v>
      </c>
      <c r="F120" s="145"/>
      <c r="G120" s="250">
        <v>44501</v>
      </c>
      <c r="J120" s="77" t="s">
        <v>264</v>
      </c>
      <c r="K120" s="258">
        <f>K119+H119</f>
        <v>204064</v>
      </c>
    </row>
    <row r="121" spans="1:11" ht="15" customHeight="1" x14ac:dyDescent="0.25">
      <c r="C121" s="27" t="s">
        <v>272</v>
      </c>
      <c r="E121" s="260">
        <f>H110+SUM(H113:H115)</f>
        <v>205757</v>
      </c>
      <c r="F121" s="145"/>
      <c r="G121" s="250">
        <v>44531</v>
      </c>
      <c r="H121" s="261"/>
      <c r="J121" s="77" t="s">
        <v>265</v>
      </c>
      <c r="K121" s="258">
        <f>K120+H119</f>
        <v>229572</v>
      </c>
    </row>
    <row r="122" spans="1:11" ht="15" customHeight="1" thickBot="1" x14ac:dyDescent="0.3">
      <c r="C122" s="56" t="s">
        <v>273</v>
      </c>
      <c r="E122" s="262">
        <v>0</v>
      </c>
      <c r="F122" s="145"/>
      <c r="G122" s="145"/>
      <c r="H122" s="245">
        <f>SUM(H113:H121)</f>
        <v>178556</v>
      </c>
      <c r="J122" s="17"/>
    </row>
    <row r="123" spans="1:11" ht="15" customHeight="1" thickTop="1" x14ac:dyDescent="0.25">
      <c r="B123" s="18" t="s">
        <v>274</v>
      </c>
      <c r="C123" s="56"/>
      <c r="E123" s="263">
        <f>E119-E122</f>
        <v>2550881</v>
      </c>
      <c r="F123" s="189">
        <f>ROUNDDOWN(E123,-2)</f>
        <v>2550800</v>
      </c>
      <c r="G123" s="145"/>
      <c r="H123" s="261"/>
      <c r="J123" s="17"/>
    </row>
    <row r="124" spans="1:11" ht="15" customHeight="1" thickBot="1" x14ac:dyDescent="0.3">
      <c r="A124" s="246"/>
      <c r="B124" s="264"/>
      <c r="C124" s="265"/>
      <c r="D124" s="264"/>
      <c r="E124" s="266"/>
      <c r="F124" s="267"/>
      <c r="G124" s="247"/>
      <c r="H124" s="268"/>
      <c r="J124" s="17"/>
    </row>
    <row r="125" spans="1:11" ht="15" customHeight="1" x14ac:dyDescent="0.25">
      <c r="B125" s="228" t="s">
        <v>275</v>
      </c>
      <c r="C125" s="190"/>
      <c r="D125" s="190"/>
      <c r="E125" s="190"/>
      <c r="F125" s="190"/>
      <c r="G125" s="190"/>
      <c r="H125" s="190"/>
      <c r="I125" s="190"/>
      <c r="J125" s="261"/>
    </row>
    <row r="126" spans="1:11" ht="15" customHeight="1" x14ac:dyDescent="0.25">
      <c r="B126" s="56" t="s">
        <v>249</v>
      </c>
      <c r="C126" s="145"/>
      <c r="D126" s="145"/>
      <c r="E126" s="189">
        <f>+E113</f>
        <v>7661161</v>
      </c>
      <c r="F126" s="190"/>
      <c r="G126" s="145"/>
      <c r="H126" s="183" t="s">
        <v>260</v>
      </c>
      <c r="I126" s="190"/>
      <c r="J126" s="261"/>
    </row>
    <row r="127" spans="1:11" ht="15" customHeight="1" x14ac:dyDescent="0.25">
      <c r="B127" s="251" t="s">
        <v>252</v>
      </c>
      <c r="C127" s="145"/>
      <c r="D127" s="145"/>
      <c r="E127" s="189">
        <f>+E114</f>
        <v>-5070280</v>
      </c>
      <c r="F127" s="190"/>
      <c r="G127" s="250">
        <v>44409</v>
      </c>
      <c r="H127" s="238">
        <v>25508</v>
      </c>
      <c r="I127" s="190"/>
      <c r="J127" s="261"/>
    </row>
    <row r="128" spans="1:11" ht="15" customHeight="1" x14ac:dyDescent="0.25">
      <c r="B128" s="251" t="s">
        <v>276</v>
      </c>
      <c r="C128" s="145"/>
      <c r="D128" s="145"/>
      <c r="E128" s="189">
        <f>+G58*-1</f>
        <v>-40000</v>
      </c>
      <c r="F128" s="190"/>
      <c r="G128" s="250">
        <v>44440</v>
      </c>
      <c r="H128" s="238">
        <f>+H127</f>
        <v>25508</v>
      </c>
      <c r="I128" s="269" t="s">
        <v>261</v>
      </c>
      <c r="J128" s="269"/>
      <c r="K128" s="270" t="s">
        <v>277</v>
      </c>
    </row>
    <row r="129" spans="1:12" ht="15" customHeight="1" x14ac:dyDescent="0.25">
      <c r="B129" s="251" t="s">
        <v>278</v>
      </c>
      <c r="C129" s="145"/>
      <c r="D129" s="145"/>
      <c r="E129" s="59"/>
      <c r="F129" s="190"/>
      <c r="G129" s="250">
        <v>44470</v>
      </c>
      <c r="H129" s="238">
        <f>+H128</f>
        <v>25508</v>
      </c>
      <c r="I129" s="190"/>
      <c r="J129" s="271" t="s">
        <v>263</v>
      </c>
      <c r="K129" s="272">
        <f>SUM(H127:H129)</f>
        <v>76524</v>
      </c>
    </row>
    <row r="130" spans="1:12" ht="15" customHeight="1" x14ac:dyDescent="0.25">
      <c r="B130" s="251" t="s">
        <v>279</v>
      </c>
      <c r="C130" s="145"/>
      <c r="D130" s="145"/>
      <c r="E130" s="59"/>
      <c r="F130" s="190"/>
      <c r="G130" s="250">
        <v>44501</v>
      </c>
      <c r="H130" s="238"/>
      <c r="I130" s="190"/>
      <c r="J130" s="271" t="s">
        <v>264</v>
      </c>
      <c r="K130" s="272">
        <f>K129+H128</f>
        <v>102032</v>
      </c>
    </row>
    <row r="131" spans="1:12" ht="15" customHeight="1" x14ac:dyDescent="0.25">
      <c r="B131" s="251" t="s">
        <v>280</v>
      </c>
      <c r="C131" s="145"/>
      <c r="D131" s="145"/>
      <c r="E131" s="90"/>
      <c r="F131" s="190"/>
      <c r="G131" s="250">
        <v>44531</v>
      </c>
      <c r="H131" s="238"/>
      <c r="I131" s="190"/>
      <c r="J131" s="271" t="s">
        <v>265</v>
      </c>
      <c r="K131" s="272">
        <f>K130+H129</f>
        <v>127540</v>
      </c>
    </row>
    <row r="132" spans="1:12" ht="15" customHeight="1" thickBot="1" x14ac:dyDescent="0.3">
      <c r="E132" s="252">
        <f>SUM(E126:E131)</f>
        <v>2550881</v>
      </c>
      <c r="F132" s="190"/>
      <c r="G132" s="273"/>
      <c r="H132" s="245">
        <f>SUM(H127:H131)</f>
        <v>76524</v>
      </c>
      <c r="I132" s="190"/>
      <c r="J132" s="261"/>
    </row>
    <row r="133" spans="1:12" ht="15" customHeight="1" thickTop="1" x14ac:dyDescent="0.25">
      <c r="C133" s="145"/>
      <c r="D133" s="145"/>
      <c r="E133" s="189">
        <f>ROUNDDOWN(+E132,-2)</f>
        <v>2550800</v>
      </c>
      <c r="F133" s="189">
        <f>ROUNDDOWN(E133,-2)</f>
        <v>2550800</v>
      </c>
      <c r="G133" s="190"/>
      <c r="H133" s="190"/>
      <c r="I133" s="190"/>
      <c r="J133" s="261"/>
    </row>
    <row r="134" spans="1:12" ht="15" customHeight="1" x14ac:dyDescent="0.25">
      <c r="C134" s="145"/>
      <c r="D134" s="145"/>
      <c r="E134" s="189"/>
      <c r="F134" s="189"/>
      <c r="G134" s="190"/>
      <c r="H134" s="190"/>
      <c r="I134" s="190"/>
      <c r="J134" s="261"/>
    </row>
    <row r="135" spans="1:12" ht="15" customHeight="1" thickBot="1" x14ac:dyDescent="0.3">
      <c r="C135" s="145"/>
      <c r="D135" s="145"/>
      <c r="E135" s="189"/>
      <c r="F135" s="190"/>
      <c r="G135" s="190"/>
      <c r="H135" s="190"/>
      <c r="I135" s="190"/>
      <c r="J135" s="261"/>
    </row>
    <row r="136" spans="1:12" s="45" customFormat="1" ht="15" customHeight="1" x14ac:dyDescent="0.25">
      <c r="A136" s="274" t="s">
        <v>281</v>
      </c>
      <c r="B136" s="275"/>
      <c r="C136" s="275"/>
      <c r="D136" s="275"/>
      <c r="E136" s="275"/>
      <c r="F136" s="275"/>
      <c r="G136" s="276" t="s">
        <v>282</v>
      </c>
      <c r="H136" s="277"/>
      <c r="J136" s="76"/>
      <c r="K136" s="278"/>
      <c r="L136" s="56"/>
    </row>
    <row r="137" spans="1:12" s="45" customFormat="1" ht="15" customHeight="1" x14ac:dyDescent="0.25">
      <c r="A137" s="279" t="s">
        <v>283</v>
      </c>
      <c r="H137" s="112"/>
      <c r="J137" s="76"/>
      <c r="K137" s="179"/>
      <c r="L137" s="56"/>
    </row>
    <row r="138" spans="1:12" s="45" customFormat="1" ht="15" customHeight="1" x14ac:dyDescent="0.25">
      <c r="A138" s="279" t="s">
        <v>284</v>
      </c>
      <c r="H138" s="112"/>
      <c r="J138" s="76"/>
      <c r="K138" s="179"/>
      <c r="L138" s="56"/>
    </row>
    <row r="139" spans="1:12" s="45" customFormat="1" ht="15" customHeight="1" x14ac:dyDescent="0.2">
      <c r="A139" s="280" t="s">
        <v>285</v>
      </c>
      <c r="B139" s="281" t="s">
        <v>286</v>
      </c>
      <c r="C139" s="281"/>
      <c r="D139" s="281"/>
      <c r="E139" s="281"/>
      <c r="F139" s="281"/>
      <c r="G139" s="281"/>
      <c r="H139" s="282"/>
      <c r="I139" s="28"/>
      <c r="J139" s="76"/>
      <c r="K139" s="283" t="s">
        <v>287</v>
      </c>
      <c r="L139" s="56"/>
    </row>
    <row r="140" spans="1:12" s="45" customFormat="1" ht="26.25" customHeight="1" x14ac:dyDescent="0.2">
      <c r="A140" s="280" t="s">
        <v>288</v>
      </c>
      <c r="B140" s="281" t="s">
        <v>289</v>
      </c>
      <c r="C140" s="281"/>
      <c r="D140" s="281"/>
      <c r="E140" s="281"/>
      <c r="F140" s="281"/>
      <c r="G140" s="281"/>
      <c r="H140" s="282"/>
      <c r="I140" s="28"/>
      <c r="J140" s="76"/>
      <c r="K140" s="283" t="s">
        <v>290</v>
      </c>
      <c r="L140" s="56"/>
    </row>
    <row r="141" spans="1:12" s="45" customFormat="1" ht="26.25" customHeight="1" x14ac:dyDescent="0.2">
      <c r="A141" s="280" t="s">
        <v>291</v>
      </c>
      <c r="B141" s="281" t="s">
        <v>292</v>
      </c>
      <c r="C141" s="281"/>
      <c r="D141" s="281"/>
      <c r="E141" s="281"/>
      <c r="F141" s="281"/>
      <c r="G141" s="281"/>
      <c r="H141" s="282"/>
      <c r="I141" s="28"/>
      <c r="J141" s="76"/>
      <c r="K141" s="283" t="s">
        <v>293</v>
      </c>
      <c r="L141" s="56"/>
    </row>
    <row r="142" spans="1:12" s="45" customFormat="1" ht="26.25" customHeight="1" x14ac:dyDescent="0.2">
      <c r="A142" s="280" t="s">
        <v>294</v>
      </c>
      <c r="B142" s="281" t="s">
        <v>295</v>
      </c>
      <c r="C142" s="281"/>
      <c r="D142" s="281"/>
      <c r="E142" s="281"/>
      <c r="F142" s="281"/>
      <c r="G142" s="281"/>
      <c r="H142" s="282"/>
      <c r="I142" s="28"/>
      <c r="J142" s="76"/>
      <c r="K142" s="283" t="s">
        <v>296</v>
      </c>
      <c r="L142" s="56"/>
    </row>
    <row r="143" spans="1:12" s="45" customFormat="1" ht="15" customHeight="1" x14ac:dyDescent="0.2">
      <c r="A143" s="280" t="s">
        <v>297</v>
      </c>
      <c r="B143" s="281" t="s">
        <v>298</v>
      </c>
      <c r="C143" s="281"/>
      <c r="D143" s="281"/>
      <c r="E143" s="281"/>
      <c r="F143" s="281"/>
      <c r="G143" s="281"/>
      <c r="H143" s="282"/>
      <c r="I143" s="28"/>
      <c r="J143" s="76"/>
      <c r="K143" s="283" t="s">
        <v>299</v>
      </c>
      <c r="L143" s="56"/>
    </row>
    <row r="144" spans="1:12" s="45" customFormat="1" ht="15" customHeight="1" x14ac:dyDescent="0.2">
      <c r="A144" s="280" t="s">
        <v>300</v>
      </c>
      <c r="B144" s="281" t="s">
        <v>301</v>
      </c>
      <c r="C144" s="281"/>
      <c r="D144" s="281"/>
      <c r="E144" s="281"/>
      <c r="F144" s="281"/>
      <c r="G144" s="281"/>
      <c r="H144" s="282"/>
      <c r="I144" s="28"/>
      <c r="J144" s="76"/>
      <c r="K144" s="283" t="s">
        <v>302</v>
      </c>
      <c r="L144" s="56"/>
    </row>
    <row r="145" spans="1:10" s="45" customFormat="1" ht="25.5" customHeight="1" x14ac:dyDescent="0.2">
      <c r="A145" s="284"/>
      <c r="B145" s="285" t="s">
        <v>303</v>
      </c>
      <c r="C145" s="285"/>
      <c r="D145" s="285"/>
      <c r="E145" s="285"/>
      <c r="F145" s="285"/>
      <c r="G145" s="285"/>
      <c r="H145" s="286"/>
      <c r="J145" s="76"/>
    </row>
    <row r="146" spans="1:10" s="45" customFormat="1" ht="15" customHeight="1" thickBot="1" x14ac:dyDescent="0.25">
      <c r="A146" s="287"/>
      <c r="B146" s="288" t="s">
        <v>304</v>
      </c>
      <c r="C146" s="288"/>
      <c r="D146" s="288"/>
      <c r="E146" s="288"/>
      <c r="F146" s="288"/>
      <c r="G146" s="288"/>
      <c r="H146" s="289"/>
      <c r="J146" s="76"/>
    </row>
    <row r="147" spans="1:10" s="45" customFormat="1" ht="15" customHeight="1" thickBot="1" x14ac:dyDescent="0.25">
      <c r="A147" s="290"/>
      <c r="B147" s="291"/>
      <c r="C147" s="291"/>
      <c r="D147" s="291"/>
      <c r="E147" s="291"/>
      <c r="F147" s="291"/>
      <c r="G147" s="291"/>
      <c r="J147" s="76"/>
    </row>
    <row r="148" spans="1:10" s="45" customFormat="1" ht="15" customHeight="1" x14ac:dyDescent="0.25">
      <c r="A148" s="274" t="s">
        <v>281</v>
      </c>
      <c r="B148" s="292"/>
      <c r="C148" s="292"/>
      <c r="D148" s="292"/>
      <c r="E148" s="292"/>
      <c r="F148" s="292"/>
      <c r="G148" s="293" t="s">
        <v>305</v>
      </c>
      <c r="H148" s="294"/>
      <c r="J148" s="76"/>
    </row>
    <row r="149" spans="1:10" ht="15" customHeight="1" x14ac:dyDescent="0.25">
      <c r="A149" s="279" t="s">
        <v>306</v>
      </c>
      <c r="F149" s="295"/>
      <c r="G149" s="119"/>
      <c r="H149" s="118"/>
      <c r="J149" s="76"/>
    </row>
    <row r="150" spans="1:10" ht="15" customHeight="1" x14ac:dyDescent="0.25">
      <c r="A150" s="279" t="s">
        <v>307</v>
      </c>
      <c r="F150" s="295"/>
      <c r="G150" s="119"/>
      <c r="H150" s="118"/>
      <c r="J150" s="76"/>
    </row>
    <row r="151" spans="1:10" ht="15" customHeight="1" x14ac:dyDescent="0.25">
      <c r="A151" s="26"/>
      <c r="B151" s="45" t="s">
        <v>308</v>
      </c>
      <c r="D151" s="45" t="s">
        <v>309</v>
      </c>
      <c r="F151" s="295"/>
      <c r="G151" s="119"/>
      <c r="H151" s="118"/>
      <c r="J151" s="76"/>
    </row>
    <row r="152" spans="1:10" ht="15" customHeight="1" x14ac:dyDescent="0.25">
      <c r="A152" s="26"/>
      <c r="B152" s="45" t="s">
        <v>310</v>
      </c>
      <c r="D152" s="45" t="s">
        <v>311</v>
      </c>
      <c r="F152" s="295"/>
      <c r="G152" s="119"/>
      <c r="H152" s="118"/>
      <c r="J152" s="76"/>
    </row>
    <row r="153" spans="1:10" ht="15" customHeight="1" x14ac:dyDescent="0.25">
      <c r="A153" s="26"/>
      <c r="B153" s="45" t="s">
        <v>312</v>
      </c>
      <c r="D153" s="45" t="s">
        <v>313</v>
      </c>
      <c r="F153" s="295"/>
      <c r="G153" s="119"/>
      <c r="H153" s="118"/>
      <c r="J153" s="76"/>
    </row>
    <row r="154" spans="1:10" ht="15" customHeight="1" x14ac:dyDescent="0.25">
      <c r="A154" s="26"/>
      <c r="B154" s="27" t="s">
        <v>314</v>
      </c>
      <c r="D154" s="45" t="s">
        <v>315</v>
      </c>
      <c r="F154" s="295"/>
      <c r="G154" s="119"/>
      <c r="H154" s="118"/>
      <c r="J154" s="76"/>
    </row>
    <row r="155" spans="1:10" ht="15" customHeight="1" x14ac:dyDescent="0.25">
      <c r="A155" s="26"/>
      <c r="B155" s="45" t="s">
        <v>316</v>
      </c>
      <c r="D155" s="45" t="s">
        <v>317</v>
      </c>
      <c r="F155" s="295"/>
      <c r="G155" s="119"/>
      <c r="H155" s="118"/>
      <c r="J155" s="76"/>
    </row>
    <row r="156" spans="1:10" ht="15" customHeight="1" x14ac:dyDescent="0.25">
      <c r="A156" s="26"/>
      <c r="B156" s="45" t="s">
        <v>318</v>
      </c>
      <c r="D156" s="45" t="s">
        <v>319</v>
      </c>
      <c r="F156" s="295"/>
      <c r="G156" s="119"/>
      <c r="H156" s="118"/>
      <c r="J156" s="17"/>
    </row>
    <row r="157" spans="1:10" ht="15" customHeight="1" x14ac:dyDescent="0.25">
      <c r="A157" s="26"/>
      <c r="B157" s="27" t="s">
        <v>320</v>
      </c>
      <c r="D157" s="45" t="s">
        <v>321</v>
      </c>
      <c r="F157" s="295"/>
      <c r="G157" s="119"/>
      <c r="H157" s="118"/>
      <c r="J157" s="17"/>
    </row>
    <row r="158" spans="1:10" ht="15" customHeight="1" thickBot="1" x14ac:dyDescent="0.3">
      <c r="A158" s="296"/>
      <c r="B158" s="297" t="s">
        <v>322</v>
      </c>
      <c r="C158" s="264"/>
      <c r="D158" s="297" t="s">
        <v>323</v>
      </c>
      <c r="E158" s="264"/>
      <c r="F158" s="264"/>
      <c r="G158" s="264"/>
      <c r="H158" s="298"/>
      <c r="J158" s="17"/>
    </row>
    <row r="159" spans="1:10" ht="15" customHeight="1" thickBot="1" x14ac:dyDescent="0.3">
      <c r="J159" s="17"/>
    </row>
    <row r="160" spans="1:10" ht="15" customHeight="1" x14ac:dyDescent="0.25">
      <c r="B160" s="299" t="s">
        <v>324</v>
      </c>
      <c r="C160" s="300"/>
      <c r="D160" s="301"/>
      <c r="E160" s="302" t="s">
        <v>325</v>
      </c>
      <c r="F160" s="303"/>
      <c r="G160" s="302" t="s">
        <v>326</v>
      </c>
      <c r="H160" s="304"/>
      <c r="J160" s="17"/>
    </row>
    <row r="161" spans="2:10" ht="15" customHeight="1" x14ac:dyDescent="0.25">
      <c r="B161" s="305" t="s">
        <v>327</v>
      </c>
      <c r="C161" s="145"/>
      <c r="D161" s="183"/>
      <c r="E161" s="36" t="s">
        <v>328</v>
      </c>
      <c r="G161" s="36" t="s">
        <v>329</v>
      </c>
      <c r="H161" s="118"/>
      <c r="J161" s="17"/>
    </row>
    <row r="162" spans="2:10" ht="15" customHeight="1" x14ac:dyDescent="0.25">
      <c r="B162" s="305" t="s">
        <v>330</v>
      </c>
      <c r="C162" s="145"/>
      <c r="D162" s="183"/>
      <c r="E162" s="36" t="s">
        <v>331</v>
      </c>
      <c r="G162" s="36" t="s">
        <v>332</v>
      </c>
      <c r="H162" s="118"/>
      <c r="J162" s="17"/>
    </row>
    <row r="163" spans="2:10" ht="15" customHeight="1" x14ac:dyDescent="0.25">
      <c r="B163" s="305" t="s">
        <v>174</v>
      </c>
      <c r="C163" s="145"/>
      <c r="D163" s="183"/>
      <c r="E163" s="36" t="s">
        <v>333</v>
      </c>
      <c r="H163" s="118"/>
      <c r="J163" s="17"/>
    </row>
    <row r="164" spans="2:10" ht="15" customHeight="1" x14ac:dyDescent="0.25">
      <c r="B164" s="305" t="s">
        <v>334</v>
      </c>
      <c r="C164" s="145"/>
      <c r="D164" s="183"/>
      <c r="E164" s="36" t="s">
        <v>335</v>
      </c>
      <c r="H164" s="118"/>
      <c r="J164" s="17"/>
    </row>
    <row r="165" spans="2:10" ht="15" customHeight="1" x14ac:dyDescent="0.25">
      <c r="B165" s="305" t="s">
        <v>336</v>
      </c>
      <c r="C165" s="145"/>
      <c r="D165" s="183"/>
      <c r="H165" s="118"/>
      <c r="J165" s="17"/>
    </row>
    <row r="166" spans="2:10" ht="15" customHeight="1" x14ac:dyDescent="0.25">
      <c r="B166" s="305" t="s">
        <v>337</v>
      </c>
      <c r="C166" s="145"/>
      <c r="D166" s="183"/>
      <c r="H166" s="118"/>
      <c r="J166" s="17"/>
    </row>
    <row r="167" spans="2:10" ht="15" customHeight="1" x14ac:dyDescent="0.25">
      <c r="B167" s="305" t="s">
        <v>338</v>
      </c>
      <c r="C167" s="145"/>
      <c r="D167" s="306">
        <f>SUM(C161:C167)</f>
        <v>0</v>
      </c>
      <c r="H167" s="118"/>
      <c r="J167" s="17"/>
    </row>
    <row r="168" spans="2:10" ht="15" customHeight="1" x14ac:dyDescent="0.25">
      <c r="B168" s="307" t="s">
        <v>339</v>
      </c>
      <c r="C168" s="145"/>
      <c r="E168" s="308"/>
      <c r="H168" s="118"/>
      <c r="J168" s="17"/>
    </row>
    <row r="169" spans="2:10" ht="15" customHeight="1" x14ac:dyDescent="0.25">
      <c r="B169" s="305" t="s">
        <v>340</v>
      </c>
      <c r="C169" s="309"/>
      <c r="H169" s="118"/>
      <c r="J169" s="17"/>
    </row>
    <row r="170" spans="2:10" ht="15" customHeight="1" x14ac:dyDescent="0.25">
      <c r="B170" s="305" t="s">
        <v>341</v>
      </c>
      <c r="C170" s="309"/>
      <c r="H170" s="118"/>
      <c r="J170" s="17"/>
    </row>
    <row r="171" spans="2:10" ht="15" customHeight="1" x14ac:dyDescent="0.25">
      <c r="B171" s="305" t="s">
        <v>342</v>
      </c>
      <c r="C171" s="309"/>
      <c r="D171" s="18">
        <f>SUM(C169:C171)</f>
        <v>0</v>
      </c>
      <c r="H171" s="118"/>
      <c r="J171" s="17"/>
    </row>
    <row r="172" spans="2:10" ht="15" customHeight="1" thickBot="1" x14ac:dyDescent="0.3">
      <c r="B172" s="310" t="s">
        <v>343</v>
      </c>
      <c r="C172" s="311"/>
      <c r="D172" s="312"/>
      <c r="E172" s="264"/>
      <c r="F172" s="264"/>
      <c r="G172" s="264"/>
      <c r="H172" s="298"/>
      <c r="J172" s="17"/>
    </row>
    <row r="173" spans="2:10" ht="15" customHeight="1" x14ac:dyDescent="0.25">
      <c r="D173" s="99">
        <f>D167+D171+D172</f>
        <v>0</v>
      </c>
      <c r="J173" s="17"/>
    </row>
    <row r="174" spans="2:10" ht="15" customHeight="1" x14ac:dyDescent="0.25">
      <c r="J174" s="76"/>
    </row>
  </sheetData>
  <mergeCells count="31">
    <mergeCell ref="B142:H142"/>
    <mergeCell ref="B143:H143"/>
    <mergeCell ref="B144:H144"/>
    <mergeCell ref="B145:H145"/>
    <mergeCell ref="B146:G146"/>
    <mergeCell ref="G148:H148"/>
    <mergeCell ref="I118:J118"/>
    <mergeCell ref="I128:J128"/>
    <mergeCell ref="G136:H136"/>
    <mergeCell ref="B139:H139"/>
    <mergeCell ref="B140:H140"/>
    <mergeCell ref="B141:H141"/>
    <mergeCell ref="D85:F85"/>
    <mergeCell ref="D93:F93"/>
    <mergeCell ref="D94:F94"/>
    <mergeCell ref="D95:F95"/>
    <mergeCell ref="D96:F96"/>
    <mergeCell ref="I105:J105"/>
    <mergeCell ref="C59:E59"/>
    <mergeCell ref="C60:D60"/>
    <mergeCell ref="C61:D61"/>
    <mergeCell ref="C62:D62"/>
    <mergeCell ref="A65:I65"/>
    <mergeCell ref="A66:B66"/>
    <mergeCell ref="F66:I66"/>
    <mergeCell ref="A1:C1"/>
    <mergeCell ref="D1:H1"/>
    <mergeCell ref="J1:M1"/>
    <mergeCell ref="A2:C2"/>
    <mergeCell ref="F2:G2"/>
    <mergeCell ref="C58:E58"/>
  </mergeCells>
  <conditionalFormatting sqref="F47">
    <cfRule type="expression" dxfId="0" priority="1" stopIfTrue="1">
      <formula>"""$E$55=0"""</formula>
    </cfRule>
  </conditionalFormatting>
  <printOptions horizontalCentered="1" verticalCentered="1"/>
  <pageMargins left="0.39370078740157483" right="0.19685039370078741" top="0.19685039370078741" bottom="0.19685039370078741" header="0" footer="0"/>
  <pageSetup paperSize="9" scale="85"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8</vt:lpstr>
      <vt:lpstr>'8'!Print_Area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Tax Doctor</dc:creator>
  <cp:lastModifiedBy>Tax Doctor</cp:lastModifiedBy>
  <dcterms:created xsi:type="dcterms:W3CDTF">2021-10-15T21:17:28Z</dcterms:created>
  <dcterms:modified xsi:type="dcterms:W3CDTF">2021-10-15T21:17:44Z</dcterms:modified>
</cp:coreProperties>
</file>